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Default Extension="JPG" ContentType="image/jpeg"/>
  <Override PartName="/xl/workbook.xml" ContentType="application/vnd.ms-excel.sheet.macroEnabled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3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omments3.xml" ContentType="application/vnd.openxmlformats-officedocument.spreadsheetml.comments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xl/vbaProject.bin" ContentType="application/vnd.ms-office.vbaProject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 codeName="{7A2D7E96-6E34-419A-AE5F-296B3A7E7977}"/>
  <workbookPr updateLinks="always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NPI Projects\Part 23\Tool\"/>
    </mc:Choice>
  </mc:AlternateContent>
  <bookViews>
    <workbookView xWindow="480" yWindow="435" windowWidth="14835" windowHeight="4800" activeTab="1"/>
  </bookViews>
  <sheets>
    <sheet name="Project Summary" sheetId="6" r:id="rId1"/>
    <sheet name="Background" sheetId="3" r:id="rId2"/>
    <sheet name="Sheet1" sheetId="4" state="hidden" r:id="rId3"/>
    <sheet name="Table 1" sheetId="1" state="hidden" r:id="rId4"/>
    <sheet name="Sheet2" sheetId="2" state="hidden" r:id="rId5"/>
    <sheet name="Roomsummary" sheetId="5" state="hidden" r:id="rId6"/>
  </sheets>
  <externalReferences>
    <externalReference r:id="rId7"/>
    <externalReference r:id="rId8"/>
    <externalReference r:id="rId9"/>
    <externalReference r:id="rId10"/>
    <externalReference r:id="rId11"/>
  </externalReferences>
  <definedNames>
    <definedName name="_xlnm._FilterDatabase" localSheetId="3" hidden="1">'Table 1'!$R$34:$X$75</definedName>
    <definedName name="actqdet">Sheet2!#REF!</definedName>
    <definedName name="actqdetlength">Sheet2!$C$74</definedName>
    <definedName name="actqdetresult">Sheet2!$B$92</definedName>
    <definedName name="actqdetwidth">Sheet2!$B$74</definedName>
    <definedName name="actqtyresultwall">Sheet2!$H$92</definedName>
    <definedName name="actwalllength">Sheet2!$I$74</definedName>
    <definedName name="actwallwidth">Sheet2!$H$74</definedName>
    <definedName name="Ambient">Sheet2!$G$2</definedName>
    <definedName name="Ambient_Light">Roomsummary!$E$12</definedName>
    <definedName name="ambient_sound_level">Sheet2!$J$21</definedName>
    <definedName name="Ambientcat">Sheet2!$H$2</definedName>
    <definedName name="ambientdesc">Sheet2!$G$3</definedName>
    <definedName name="ambientset">Sheet2!$V$2</definedName>
    <definedName name="Area" localSheetId="1">'[1]Design Summary'!$D$6</definedName>
    <definedName name="Area" localSheetId="0">'[1]Design Summary'!$D$6</definedName>
    <definedName name="Area" localSheetId="5">'[1]Design Summary'!$D$6</definedName>
    <definedName name="Area">'[2]Design Summary'!$D$6</definedName>
    <definedName name="backview">Background!$A$1:$P$1</definedName>
    <definedName name="bestsdrspacelength">Sheet2!$H$27</definedName>
    <definedName name="bestsdrspacewidth">Sheet2!$G$27</definedName>
    <definedName name="bestspacinglength">Sheet2!$B$27</definedName>
    <definedName name="bestspacingwidth">Sheet2!$A$27</definedName>
    <definedName name="catprefix">'Table 1'!$P$7</definedName>
    <definedName name="ceilingactive">Sheet2!$C$13</definedName>
    <definedName name="ceilingbestfit">Sheet2!$B$79</definedName>
    <definedName name="ceilingcorrfact">Sheet2!$B$19</definedName>
    <definedName name="Ceilingheight">Sheet2!$D$2</definedName>
    <definedName name="ceilingheighterror">Sheet2!$D$90</definedName>
    <definedName name="ceilinghtwarning">Sheet2!$D$88</definedName>
    <definedName name="Certified_Category">Roomsummary!$P$12</definedName>
    <definedName name="certifiedcategory">'Table 1'!$Q$30</definedName>
    <definedName name="certifiedrating">Sheet2!$B$93</definedName>
    <definedName name="certifiedratingwall">Sheet2!$H$93</definedName>
    <definedName name="check">'Table 1'!$X$22</definedName>
    <definedName name="Check_Room_Name">'Table 1'!$B$42</definedName>
    <definedName name="colourandpower">'Table 1'!$T$27</definedName>
    <definedName name="colourselected">Sheet2!$B$95</definedName>
    <definedName name="compromisespacing">Sheet2!$B$72</definedName>
    <definedName name="compromisespacingwall">Sheet2!$H$72</definedName>
    <definedName name="correctedidealspacing">Sheet2!$D$76</definedName>
    <definedName name="correctedidealspacingwall">Sheet2!$J$76</definedName>
    <definedName name="correctedrating">Sheet2!$B$94</definedName>
    <definedName name="correctedratingwall">Sheet2!$H$94</definedName>
    <definedName name="Correction_Factor">'Table 1'!$K$10</definedName>
    <definedName name="cvadrates">Sheet2!$A$31:$E$40</definedName>
    <definedName name="defaultroomname">Sheet2!$C$6</definedName>
    <definedName name="designcoveragelength">Sheet2!$C$76</definedName>
    <definedName name="designcoveragelengthw">Sheet2!$I$76</definedName>
    <definedName name="designcoveragewidth">Sheet2!$B$76</definedName>
    <definedName name="designcoveragewidthw">Sheet2!$H$76</definedName>
    <definedName name="Detection_Tech">Sheet2!$A$12</definedName>
    <definedName name="detectiontech">Sheet2!$A$13</definedName>
    <definedName name="Detector_Spacing">Roomsummary!$C$12</definedName>
    <definedName name="detquantity">Sheet2!$B$25</definedName>
    <definedName name="detspacing">Sheet2!$B$21</definedName>
    <definedName name="detspacingtext">Sheet2!$B$28</definedName>
    <definedName name="dettechname">Sheet2!$A$11</definedName>
    <definedName name="dettechwithspacing">Sheet2!$B$13</definedName>
    <definedName name="Device" localSheetId="1">'[1]Design Summary'!$D$11</definedName>
    <definedName name="Device" localSheetId="0">'[1]Design Summary'!$D$11</definedName>
    <definedName name="Device" localSheetId="5">'[1]Design Summary'!$D$11</definedName>
    <definedName name="Device">'[2]Design Summary'!$D$11</definedName>
    <definedName name="Device_Colour">Roomsummary!$F$12</definedName>
    <definedName name="Device_Type">Roomsummary!$O$12</definedName>
    <definedName name="devref">[3]Report!#REF!</definedName>
    <definedName name="Direct" localSheetId="1">[1]Detail!$M$26</definedName>
    <definedName name="Direct" localSheetId="0">[1]Detail!$M$26</definedName>
    <definedName name="Direct" localSheetId="5">[1]Detail!$M$26</definedName>
    <definedName name="Direct">[2]Detail!$M$26</definedName>
    <definedName name="errormessage">'Table 1'!$V$31</definedName>
    <definedName name="filtercolour">'Table 1'!$AD$5</definedName>
    <definedName name="filtertype">'Table 1'!$AD$4</definedName>
    <definedName name="gggg">[3]Report!#REF!</definedName>
    <definedName name="Heat___Coridoor">Sheet2!$N$14:$O$17</definedName>
    <definedName name="Height" localSheetId="1">'[1]Design Summary'!$D$7</definedName>
    <definedName name="Height" localSheetId="0">'[1]Design Summary'!$D$7</definedName>
    <definedName name="Height" localSheetId="5">'[1]Design Summary'!$D$7</definedName>
    <definedName name="Height">'[2]Design Summary'!$D$7</definedName>
    <definedName name="heighterror">'Table 1'!$S$32</definedName>
    <definedName name="hghthi">'Table 1'!$R$15</definedName>
    <definedName name="hghtlow">'Table 1'!$R$17</definedName>
    <definedName name="hghtmed">'Table 1'!$R$16</definedName>
    <definedName name="idealqty">'Table 1'!$E$20</definedName>
    <definedName name="Idealspacing">'Table 1'!$E$23</definedName>
    <definedName name="Length" localSheetId="1">'[1]Design Summary'!$D$4</definedName>
    <definedName name="Length" localSheetId="0">'[1]Design Summary'!$D$4</definedName>
    <definedName name="Length" localSheetId="5">'[1]Design Summary'!$D$4</definedName>
    <definedName name="Length">'[2]Design Summary'!$D$4</definedName>
    <definedName name="lengthofroom">Sheet2!$B$8</definedName>
    <definedName name="lhs">Roomsummary!$A$12:$N$12</definedName>
    <definedName name="Line_of_Sight">Roomsummary!$G$12</definedName>
    <definedName name="line_of_sight_text_wall">Sheet2!$F$4</definedName>
    <definedName name="line_of_sight_wall">Sheet2!$E$4</definedName>
    <definedName name="Lineofsight">Sheet2!$E$2</definedName>
    <definedName name="Lineofsighttext">Sheet2!$F$2</definedName>
    <definedName name="lookuptable">Sheet2!$K$1:$P$9</definedName>
    <definedName name="loopload">'Table 1'!$Q$29</definedName>
    <definedName name="Max_Mounting_Height">Roomsummary!$R$12</definedName>
    <definedName name="Max_Sdr_Spacing">Sheet2!$I$21</definedName>
    <definedName name="Max_Spacing_of_VAD">Roomsummary!$S$12</definedName>
    <definedName name="maxdiameter">'Table 1'!$U$28</definedName>
    <definedName name="maxheight">'Table 1'!$T$31</definedName>
    <definedName name="maxsdrspace">Sheet2!$H$22</definedName>
    <definedName name="maxspacing">'Table 1'!$T$29</definedName>
    <definedName name="mid">Roomsummary!$O$12:$O$12</definedName>
    <definedName name="month">Sheet2!$N$20:$O$31</definedName>
    <definedName name="mount">Roomsummary!$M$12</definedName>
    <definedName name="nameofroom">Roomsummary!$B$12</definedName>
    <definedName name="Newparts">'[4]S3 S4 VOLUME ASSUMPTIONS CLEAN'!$C$5:$C$79</definedName>
    <definedName name="ok">'Table 1'!$X$21</definedName>
    <definedName name="Open_or_Corridoor">Sheet2!$B$11</definedName>
    <definedName name="Part_Ref">Roomsummary!$H$12</definedName>
    <definedName name="part1">Sheet2!$C$108</definedName>
    <definedName name="part2">Sheet2!$C$109</definedName>
    <definedName name="part3">Sheet2!$C$110</definedName>
    <definedName name="part4">Sheet2!$C$111</definedName>
    <definedName name="part5">Sheet2!$C$112</definedName>
    <definedName name="part6">Sheet2!$C$113</definedName>
    <definedName name="part7">Sheet2!$C$114</definedName>
    <definedName name="partref1">Sheet2!$H$108</definedName>
    <definedName name="partref2">Sheet2!$H$109</definedName>
    <definedName name="partref3">Sheet2!$H$110</definedName>
    <definedName name="partref4">Sheet2!$H$111</definedName>
    <definedName name="partref5">Sheet2!$H$112</definedName>
    <definedName name="partref6">Sheet2!$H$113</definedName>
    <definedName name="partref7">Sheet2!$H$114</definedName>
    <definedName name="parts">[5]Sheet1!$B$2:$B$39</definedName>
    <definedName name="power">'Table 1'!$O$10</definedName>
    <definedName name="powersetting">'Table 1'!$Q$27</definedName>
    <definedName name="PRINTING">'Project Summary'!$A$7:$S$7</definedName>
    <definedName name="Project_Name">Sheet2!$A$2</definedName>
    <definedName name="projectnamecheck">Sheet2!$A$3</definedName>
    <definedName name="qdetlength">Sheet2!$C$24</definedName>
    <definedName name="qdetwidth">Sheet2!$B$24</definedName>
    <definedName name="qsdrlength">Sheet2!$I$24</definedName>
    <definedName name="qsdrwidth">Sheet2!$H$24</definedName>
    <definedName name="Quantity">Roomsummary!$J$12</definedName>
    <definedName name="red" localSheetId="1">'[1]table '!$S$69:$S$76</definedName>
    <definedName name="red" localSheetId="0">'[1]table '!$S$69:$S$76</definedName>
    <definedName name="red" localSheetId="5">'[1]table '!$S$69:$S$76</definedName>
    <definedName name="red">'[2]table '!$S$69:$S$76</definedName>
    <definedName name="Red___High_Output" localSheetId="1">'[1]Table 1'!#REF!</definedName>
    <definedName name="Red___High_Output" localSheetId="0">'[1]Table 1'!#REF!</definedName>
    <definedName name="Red___High_Output" localSheetId="5">'[1]Table 1'!#REF!</definedName>
    <definedName name="Red___High_Output">'Table 1'!#REF!</definedName>
    <definedName name="Red___Low_Output" localSheetId="1">'[1]Table 1'!#REF!</definedName>
    <definedName name="Red___Low_Output" localSheetId="0">'[1]Table 1'!#REF!</definedName>
    <definedName name="Red___Low_Output" localSheetId="5">'[1]Table 1'!#REF!</definedName>
    <definedName name="Red___Low_Output">'Table 1'!#REF!</definedName>
    <definedName name="Red___Med_Output" localSheetId="1">'[1]Table 1'!#REF!</definedName>
    <definedName name="Red___Med_Output" localSheetId="0">'[1]Table 1'!#REF!</definedName>
    <definedName name="Red___Med_Output" localSheetId="5">'[1]Table 1'!#REF!</definedName>
    <definedName name="Red___Med_Output">'Table 1'!#REF!</definedName>
    <definedName name="redHPceiling">'Table 1'!$P$94:$Q$97</definedName>
    <definedName name="redLP_ceiling">'Table 1'!#REF!</definedName>
    <definedName name="redmed" localSheetId="1">'[1]Loop Load'!$B$4</definedName>
    <definedName name="redmed" localSheetId="0">'[1]Loop Load'!$B$4</definedName>
    <definedName name="redmed" localSheetId="5">'[1]Loop Load'!$B$4</definedName>
    <definedName name="redmed">'[2]Loop Load'!$B$4</definedName>
    <definedName name="redstandard_ceiling">'Table 1'!$P$86:$Q$90</definedName>
    <definedName name="Required_SPL">Sheet2!$K$21</definedName>
    <definedName name="rhs">Roomsummary!$P$12:$S$12</definedName>
    <definedName name="rmlen">Roomsummary!$K$12</definedName>
    <definedName name="rmwid">Roomsummary!$L$12</definedName>
    <definedName name="Room_ID">Roomsummary!$A$12</definedName>
    <definedName name="Room_Number" localSheetId="1">'[1]Table 1'!$A$25</definedName>
    <definedName name="Room_Number" localSheetId="0">'[1]Table 1'!$A$25</definedName>
    <definedName name="Room_Number" localSheetId="5">'[1]Table 1'!$A$25</definedName>
    <definedName name="Room_Number">Sheet2!$H$8</definedName>
    <definedName name="roomandproject">Sheet2!$G$6</definedName>
    <definedName name="roomarea">Roomsummary!#REF!</definedName>
    <definedName name="roomcopytorange">'Project Summary'!#REF!</definedName>
    <definedName name="roomidnumber">Sheet2!$B$6</definedName>
    <definedName name="roomname">Sheet2!$A$6</definedName>
    <definedName name="roomnamecheck">Sheet2!$A$5</definedName>
    <definedName name="roomsummaryforprint">Roomsummary!$A$12:$S$12</definedName>
    <definedName name="S3EPSR">'Table 1'!$V$57</definedName>
    <definedName name="S3EPVADHPRR">'Table 1'!$V$59</definedName>
    <definedName name="S3EPVADHPWR">'Table 1'!$V$58</definedName>
    <definedName name="S3EPVVADHPRR">'Table 1'!$V$61</definedName>
    <definedName name="S3EPVVADHPWR">'Table 1'!$V$60</definedName>
    <definedName name="S3SR">'Table 1'!$V$45</definedName>
    <definedName name="S3SVADHPRR">'Table 1'!$V$52</definedName>
    <definedName name="S3SVADHPRW">'Table 1'!$V$54</definedName>
    <definedName name="S3SVADHPWR">'Table 1'!$V$51</definedName>
    <definedName name="S3SVADHPWW">'Table 1'!$V$53</definedName>
    <definedName name="S3SW">'Table 1'!$V$47</definedName>
    <definedName name="S3VADHPRR">'Table 1'!$V$50</definedName>
    <definedName name="S3VADHPWR">'Table 1'!$V$49</definedName>
    <definedName name="S3VR">'Table 1'!$V$46</definedName>
    <definedName name="S3VVADHPRR">'Table 1'!$V$56</definedName>
    <definedName name="S3VVADHPWR">'Table 1'!$V$55</definedName>
    <definedName name="S3VW">'Table 1'!$V$48</definedName>
    <definedName name="S4_711_V_VAD_HPR">'Table 1'!$Q$36</definedName>
    <definedName name="S4_711_V_VAD_HPW">'Table 1'!$Q$40</definedName>
    <definedName name="S4_711_V_VAD_LPR">'Table 1'!$Q$43</definedName>
    <definedName name="S4_711_V_VAD_LPW">'Table 1'!$Q$44</definedName>
    <definedName name="S4_711_VAD_HPR">'Table 1'!$Q$35</definedName>
    <definedName name="S4_711_VAD_HPW">'Table 1'!$Q$39</definedName>
    <definedName name="S4_711_VAD_LPW">'Table 1'!$Q$43</definedName>
    <definedName name="S4_720_V_VAD_HPR">'Table 1'!$Q$38</definedName>
    <definedName name="S4_720_V_VAD_HPW">'Table 1'!$Q$42</definedName>
    <definedName name="S4_911_V_VAD_HPR">'Table 1'!$Q$37</definedName>
    <definedName name="S4_911_V_VAD_HPW">'Table 1'!$Q$41</definedName>
    <definedName name="S4711VADHPR">'Table 1'!$V$35</definedName>
    <definedName name="S4711VADHPW">'Table 1'!$V$39</definedName>
    <definedName name="S4711VADLPW">'Table 1'!$V$43</definedName>
    <definedName name="S4711VVADHPR">'Table 1'!$V$36</definedName>
    <definedName name="S4711VVADHPW">'Table 1'!$V$40</definedName>
    <definedName name="S4711VVADLPR">'Table 1'!$V$43</definedName>
    <definedName name="S4711VVADLPW">'Table 1'!$V$44</definedName>
    <definedName name="S4720VVADHPR">'Table 1'!$V$38</definedName>
    <definedName name="S4720VVADHPW">'Table 1'!$V$42</definedName>
    <definedName name="S4911VVADHPR">'Table 1'!$V$37</definedName>
    <definedName name="S4911VVADHPW">'Table 1'!$V$41</definedName>
    <definedName name="selectedceilingvad">Sheet2!$B$89</definedName>
    <definedName name="selecteddevice">'Table 1'!$P$32</definedName>
    <definedName name="selectedmaxheight">Sheet2!$B$90</definedName>
    <definedName name="selectedmaxheightwall">Sheet2!$H$90</definedName>
    <definedName name="selectedmaxspacing">Sheet2!$B$91</definedName>
    <definedName name="selectedmaxspacingwall">Sheet2!$H$91</definedName>
    <definedName name="selectedVAD">'Table 1'!$Q$33</definedName>
    <definedName name="selectedVADdesc">'Table 1'!$P$33</definedName>
    <definedName name="selectedviewceiling">Sheet2!$B$96</definedName>
    <definedName name="selectedwallvad">Sheet2!$H$89</definedName>
    <definedName name="SEN770VADHPR">'Table 1'!$V$74</definedName>
    <definedName name="SEN770VADHPW">'Table 1'!$V$72</definedName>
    <definedName name="SEN780VADHPR">'Table 1'!$V$75</definedName>
    <definedName name="SEN780VADHPW">'Table 1'!$V$73</definedName>
    <definedName name="SENSEPR">'Table 1'!$V$67</definedName>
    <definedName name="SENSR">'Table 1'!$V$62</definedName>
    <definedName name="SENSVADHPREPR">'Table 1'!$V$69</definedName>
    <definedName name="SENSVADHPRR">'Table 1'!$V$66</definedName>
    <definedName name="SENSVADHPWEPR">'Table 1'!$V$68</definedName>
    <definedName name="SENSVADHPWR">'Table 1'!$V$65</definedName>
    <definedName name="SENVADHPRR">'Table 1'!$V$64</definedName>
    <definedName name="SENVADHPWR">'Table 1'!$V$63</definedName>
    <definedName name="setheight">Sheet2!$T$2</definedName>
    <definedName name="setlength">Sheet2!$R$2</definedName>
    <definedName name="setRequired_SPL">Sheet2!$V$4</definedName>
    <definedName name="setsdrspace">Sheet2!$W$2</definedName>
    <definedName name="setwallheight">Sheet2!$U$2</definedName>
    <definedName name="setwidth">Sheet2!$S$2</definedName>
    <definedName name="sms">[4]Sheet3!$F$3:$F$29</definedName>
    <definedName name="sounderspacing">Sheet2!$H$21</definedName>
    <definedName name="spacehi">'Table 1'!$S$20</definedName>
    <definedName name="spacelow">'Table 1'!$S$22</definedName>
    <definedName name="spacemed">'Table 1'!$S$21</definedName>
    <definedName name="Spacing">'Table 1'!$F$16</definedName>
    <definedName name="spacingerror">'Table 1'!$S$30</definedName>
    <definedName name="spacingideal">Sheet2!$C$27</definedName>
    <definedName name="spacingidealsdr">Sheet2!$I$27</definedName>
    <definedName name="spacingidealtext">Sheet2!$D$27</definedName>
    <definedName name="spacingrecc_ceiling">Sheet2!$C$63</definedName>
    <definedName name="spacingreccwall">Sheet2!$I$63</definedName>
    <definedName name="SPL_lookup">Sheet2!$AB$2:$AD$16</definedName>
    <definedName name="Standard">Sheet2!$L$84</definedName>
    <definedName name="standardavailable">Sheet2!$L$82</definedName>
    <definedName name="standardavailablewall">Sheet2!$M$82</definedName>
    <definedName name="standardbutlpselected">Sheet2!$M$83</definedName>
    <definedName name="standardcheck">Sheet2!$L$83</definedName>
    <definedName name="Target_SPL">Sheet2!$V$2</definedName>
    <definedName name="today">Sheet2!$J$1</definedName>
    <definedName name="Type">'Table 1'!$O$9</definedName>
    <definedName name="VAD_Spacing">Roomsummary!$D$12</definedName>
    <definedName name="vadcategory">'Table 1'!$S$28</definedName>
    <definedName name="VADcolour">Sheet2!$B$2</definedName>
    <definedName name="VADcolourtext">Sheet2!$C$2</definedName>
    <definedName name="VADinternal">'Table 1'!$AD$7</definedName>
    <definedName name="VADsounder">'Table 1'!$AD$6</definedName>
    <definedName name="Wall_Sdr_Y_N">Sheet2!$J$13</definedName>
    <definedName name="wallactive">Sheet2!$H$13</definedName>
    <definedName name="wallceilingselected">Sheet2!$F$12</definedName>
    <definedName name="wallcorrfact">Sheet2!$H$19</definedName>
    <definedName name="WallHeight">Sheet2!$D$4</definedName>
    <definedName name="wallorceiling">'Table 1'!$P$8</definedName>
    <definedName name="White" localSheetId="1">[1]Detail!$M$25</definedName>
    <definedName name="White" localSheetId="0">[1]Detail!$M$25</definedName>
    <definedName name="White" localSheetId="5">[1]Detail!$M$25</definedName>
    <definedName name="White">[2]Detail!$M$25</definedName>
    <definedName name="White___High_Output">'Table 1'!#REF!</definedName>
    <definedName name="White___Low_Output">'Table 1'!#REF!</definedName>
    <definedName name="White___Med_Output">'Table 1'!#REF!</definedName>
    <definedName name="whiteHPceiling">'Table 1'!$P$110:$Q$113</definedName>
    <definedName name="whitelow" localSheetId="1">'[1]Loop Load'!$B$8</definedName>
    <definedName name="whitelow" localSheetId="0">'[1]Loop Load'!$B$8</definedName>
    <definedName name="whitelow" localSheetId="5">'[1]Loop Load'!$B$8</definedName>
    <definedName name="whitelow">'[2]Loop Load'!$B$8</definedName>
    <definedName name="whitelowother">'Table 1'!$U$206</definedName>
    <definedName name="whitemed" localSheetId="1">'[1]Loop Load'!$B$7</definedName>
    <definedName name="whitemed" localSheetId="0">'[1]Loop Load'!$B$7</definedName>
    <definedName name="whitemed" localSheetId="5">'[1]Loop Load'!$B$7</definedName>
    <definedName name="whitemed">'[2]Loop Load'!$B$7</definedName>
    <definedName name="whitestandardceiling">'Table 1'!$P$101:$Q$105</definedName>
    <definedName name="Width" localSheetId="1">'[1]Design Summary'!$D$5</definedName>
    <definedName name="Width" localSheetId="0">'[1]Design Summary'!$D$5</definedName>
    <definedName name="Width" localSheetId="5">'[1]Design Summary'!$D$5</definedName>
    <definedName name="Width">'[2]Design Summary'!$D$5</definedName>
    <definedName name="widthofroom">Sheet2!$C$8</definedName>
    <definedName name="wvadrates">Sheet2!$G$31:$K$40</definedName>
  </definedNames>
  <calcPr calcId="152511"/>
</workbook>
</file>

<file path=xl/calcChain.xml><?xml version="1.0" encoding="utf-8"?>
<calcChain xmlns="http://schemas.openxmlformats.org/spreadsheetml/2006/main">
  <c r="Q31" i="1" l="1"/>
  <c r="L86" i="2" l="1"/>
  <c r="L85" i="2"/>
  <c r="S153" i="1" l="1"/>
  <c r="S152" i="1"/>
  <c r="J7" i="2"/>
  <c r="J6" i="2"/>
  <c r="I6" i="2"/>
  <c r="J1" i="2" l="1"/>
  <c r="G6" i="2"/>
  <c r="S149" i="1" l="1"/>
  <c r="S148" i="1"/>
  <c r="H22" i="2"/>
  <c r="C6" i="2" l="1"/>
  <c r="F4" i="2" l="1"/>
  <c r="F2" i="2"/>
  <c r="M94" i="2" l="1"/>
  <c r="E12" i="5"/>
  <c r="A12" i="5" l="1"/>
  <c r="B12" i="5"/>
  <c r="H12" i="5"/>
  <c r="K12" i="5"/>
  <c r="L12" i="5"/>
  <c r="M12" i="5"/>
  <c r="B5" i="6"/>
  <c r="L2" i="6"/>
  <c r="J4" i="5" l="1"/>
  <c r="P33" i="1" l="1"/>
  <c r="I12" i="5" s="1"/>
  <c r="S145" i="1" l="1"/>
  <c r="S144" i="1"/>
  <c r="S143" i="1"/>
  <c r="S142" i="1"/>
  <c r="S141" i="1"/>
  <c r="S140" i="1"/>
  <c r="S138" i="1"/>
  <c r="S137" i="1"/>
  <c r="S136" i="1"/>
  <c r="S135" i="1"/>
  <c r="S134" i="1"/>
  <c r="S133" i="1"/>
  <c r="S132" i="1"/>
  <c r="S130" i="1" l="1"/>
  <c r="S129" i="1"/>
  <c r="S128" i="1"/>
  <c r="S127" i="1"/>
  <c r="S126" i="1"/>
  <c r="S125" i="1"/>
  <c r="S123" i="1"/>
  <c r="S122" i="1"/>
  <c r="S121" i="1"/>
  <c r="S120" i="1"/>
  <c r="S119" i="1"/>
  <c r="S118" i="1"/>
  <c r="S117" i="1"/>
  <c r="I101" i="2"/>
  <c r="F12" i="2"/>
  <c r="N12" i="5" l="1"/>
  <c r="G12" i="5"/>
  <c r="S113" i="1"/>
  <c r="S112" i="1"/>
  <c r="S111" i="1"/>
  <c r="S110" i="1"/>
  <c r="S105" i="1"/>
  <c r="S104" i="1"/>
  <c r="S103" i="1"/>
  <c r="S102" i="1"/>
  <c r="S101" i="1"/>
  <c r="S97" i="1"/>
  <c r="S96" i="1"/>
  <c r="S95" i="1"/>
  <c r="S94" i="1"/>
  <c r="S90" i="1"/>
  <c r="S89" i="1"/>
  <c r="S88" i="1"/>
  <c r="S87" i="1"/>
  <c r="S86" i="1"/>
  <c r="A11" i="2"/>
  <c r="H17" i="2"/>
  <c r="B17" i="2"/>
  <c r="A13" i="2" l="1"/>
  <c r="I17" i="2"/>
  <c r="P7" i="3"/>
  <c r="T2" i="2"/>
  <c r="B13" i="2" l="1"/>
  <c r="G10" i="2"/>
  <c r="P3" i="3"/>
  <c r="P6" i="3" l="1"/>
  <c r="P4" i="3"/>
  <c r="H97" i="2" l="1"/>
  <c r="B97" i="2"/>
  <c r="G47" i="2"/>
  <c r="G46" i="2"/>
  <c r="G45" i="2"/>
  <c r="G44" i="2"/>
  <c r="G43" i="2"/>
  <c r="A47" i="2"/>
  <c r="A46" i="2"/>
  <c r="A45" i="2"/>
  <c r="A44" i="2"/>
  <c r="A43" i="2"/>
  <c r="I40" i="2"/>
  <c r="I38" i="2"/>
  <c r="I37" i="2"/>
  <c r="I36" i="2"/>
  <c r="I35" i="2"/>
  <c r="I34" i="2"/>
  <c r="I33" i="2"/>
  <c r="I32" i="2"/>
  <c r="I31" i="2"/>
  <c r="K39" i="2"/>
  <c r="J39" i="2"/>
  <c r="K38" i="2"/>
  <c r="J38" i="2"/>
  <c r="H24" i="2"/>
  <c r="G27" i="2" s="1"/>
  <c r="B24" i="2"/>
  <c r="A27" i="2" s="1"/>
  <c r="I24" i="2"/>
  <c r="H27" i="2" s="1"/>
  <c r="C24" i="2"/>
  <c r="H16" i="2"/>
  <c r="H15" i="2"/>
  <c r="B16" i="2"/>
  <c r="I18" i="2"/>
  <c r="C18" i="2"/>
  <c r="AD3" i="2"/>
  <c r="AD4" i="2" s="1"/>
  <c r="AD5" i="2" s="1"/>
  <c r="V4" i="2"/>
  <c r="W2" i="2"/>
  <c r="V2" i="2"/>
  <c r="Z3" i="2" s="1"/>
  <c r="S2" i="2"/>
  <c r="R2" i="2"/>
  <c r="H2" i="2"/>
  <c r="C17" i="2"/>
  <c r="C2" i="2"/>
  <c r="F12" i="5" s="1"/>
  <c r="AD1" i="2"/>
  <c r="P207" i="1"/>
  <c r="O207" i="1"/>
  <c r="N207" i="1"/>
  <c r="M207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E21" i="1"/>
  <c r="E23" i="1" s="1"/>
  <c r="V18" i="1" s="1"/>
  <c r="E20" i="1"/>
  <c r="B18" i="1"/>
  <c r="V19" i="1" s="1"/>
  <c r="U18" i="1"/>
  <c r="V17" i="1"/>
  <c r="V15" i="1"/>
  <c r="AA14" i="1"/>
  <c r="Z14" i="1"/>
  <c r="Y12" i="1"/>
  <c r="Y9" i="1"/>
  <c r="Y8" i="1"/>
  <c r="Y7" i="1"/>
  <c r="Y6" i="1"/>
  <c r="Y5" i="1"/>
  <c r="Y4" i="1"/>
  <c r="Y3" i="1"/>
  <c r="AA11" i="1"/>
  <c r="Z11" i="1"/>
  <c r="AA10" i="1"/>
  <c r="Z10" i="1"/>
  <c r="E10" i="1"/>
  <c r="A10" i="1"/>
  <c r="O10" i="1"/>
  <c r="O9" i="1"/>
  <c r="P9" i="1" s="1"/>
  <c r="P8" i="1" s="1"/>
  <c r="AE7" i="1"/>
  <c r="AE6" i="1"/>
  <c r="AE5" i="1"/>
  <c r="AE4" i="1"/>
  <c r="P32" i="1" l="1"/>
  <c r="Y10" i="1"/>
  <c r="AB14" i="1"/>
  <c r="AC14" i="1" s="1"/>
  <c r="B18" i="2"/>
  <c r="H19" i="2"/>
  <c r="I47" i="2" s="1"/>
  <c r="B95" i="2"/>
  <c r="G102" i="2" s="1"/>
  <c r="P5" i="3"/>
  <c r="Y11" i="1"/>
  <c r="I39" i="2"/>
  <c r="AB2" i="2"/>
  <c r="B25" i="2"/>
  <c r="H95" i="2"/>
  <c r="U17" i="1"/>
  <c r="I15" i="2"/>
  <c r="H96" i="2"/>
  <c r="B27" i="2"/>
  <c r="C27" i="2" s="1"/>
  <c r="B28" i="2" s="1"/>
  <c r="I27" i="2"/>
  <c r="K8" i="1"/>
  <c r="AD6" i="2"/>
  <c r="AB5" i="2"/>
  <c r="G3" i="2"/>
  <c r="P8" i="3" s="1"/>
  <c r="B96" i="2"/>
  <c r="C102" i="2" s="1"/>
  <c r="V16" i="1"/>
  <c r="C15" i="2"/>
  <c r="AB4" i="2"/>
  <c r="B19" i="2"/>
  <c r="C46" i="2" s="1"/>
  <c r="D46" i="2" s="1"/>
  <c r="H18" i="2"/>
  <c r="H25" i="2"/>
  <c r="AB3" i="2"/>
  <c r="P7" i="1"/>
  <c r="Q18" i="1"/>
  <c r="Q17" i="1"/>
  <c r="Q22" i="1" s="1"/>
  <c r="Q16" i="1"/>
  <c r="Q21" i="1" s="1"/>
  <c r="Q15" i="1"/>
  <c r="S15" i="1" s="1"/>
  <c r="S20" i="1" s="1"/>
  <c r="U16" i="1"/>
  <c r="U19" i="1"/>
  <c r="P10" i="1"/>
  <c r="D27" i="2" l="1"/>
  <c r="C12" i="5"/>
  <c r="T13" i="1"/>
  <c r="S13" i="1" s="1"/>
  <c r="R13" i="1" s="1"/>
  <c r="R17" i="1"/>
  <c r="I43" i="2"/>
  <c r="S17" i="1"/>
  <c r="S22" i="1" s="1"/>
  <c r="R15" i="1"/>
  <c r="R14" i="1" s="1"/>
  <c r="I46" i="2"/>
  <c r="B45" i="2"/>
  <c r="B43" i="2"/>
  <c r="B47" i="2" s="1"/>
  <c r="B46" i="2"/>
  <c r="B44" i="2"/>
  <c r="AD7" i="2"/>
  <c r="AB6" i="2"/>
  <c r="C43" i="2"/>
  <c r="H45" i="2"/>
  <c r="J18" i="2"/>
  <c r="D103" i="2"/>
  <c r="D18" i="2"/>
  <c r="I45" i="2"/>
  <c r="H44" i="2"/>
  <c r="H47" i="2"/>
  <c r="I44" i="2"/>
  <c r="H43" i="2"/>
  <c r="S16" i="1"/>
  <c r="S21" i="1" s="1"/>
  <c r="R16" i="1"/>
  <c r="C45" i="2"/>
  <c r="D45" i="2" s="1"/>
  <c r="C44" i="2"/>
  <c r="D44" i="2" s="1"/>
  <c r="H46" i="2"/>
  <c r="S25" i="1"/>
  <c r="S24" i="1"/>
  <c r="R18" i="1"/>
  <c r="Q23" i="1"/>
  <c r="S18" i="1"/>
  <c r="S23" i="1" s="1"/>
  <c r="Q20" i="1"/>
  <c r="Q14" i="1"/>
  <c r="P28" i="1"/>
  <c r="T26" i="1" l="1"/>
  <c r="T17" i="1"/>
  <c r="T22" i="1" s="1"/>
  <c r="V27" i="1"/>
  <c r="W28" i="1" s="1"/>
  <c r="I51" i="2"/>
  <c r="X17" i="1"/>
  <c r="Y13" i="1"/>
  <c r="X16" i="1"/>
  <c r="U14" i="1"/>
  <c r="I60" i="2"/>
  <c r="I62" i="2"/>
  <c r="I53" i="2"/>
  <c r="X15" i="1"/>
  <c r="T15" i="1"/>
  <c r="T20" i="1" s="1"/>
  <c r="T24" i="1" s="1"/>
  <c r="H51" i="2"/>
  <c r="H60" i="2" s="1"/>
  <c r="H79" i="2" s="1"/>
  <c r="H53" i="2"/>
  <c r="B53" i="2"/>
  <c r="B51" i="2"/>
  <c r="B60" i="2" s="1"/>
  <c r="B79" i="2" s="1"/>
  <c r="C47" i="2"/>
  <c r="D43" i="2"/>
  <c r="D47" i="2" s="1"/>
  <c r="T16" i="1"/>
  <c r="T21" i="1" s="1"/>
  <c r="AD8" i="2"/>
  <c r="AB7" i="2"/>
  <c r="T18" i="1"/>
  <c r="T23" i="1" s="1"/>
  <c r="X18" i="1"/>
  <c r="Q207" i="1"/>
  <c r="I61" i="2" l="1"/>
  <c r="I64" i="2" s="1"/>
  <c r="I66" i="2" s="1"/>
  <c r="H52" i="2"/>
  <c r="B52" i="2"/>
  <c r="V28" i="1"/>
  <c r="C60" i="2"/>
  <c r="C51" i="2"/>
  <c r="C53" i="2"/>
  <c r="I52" i="2"/>
  <c r="I55" i="2" s="1"/>
  <c r="I57" i="2" s="1"/>
  <c r="C62" i="2"/>
  <c r="T25" i="1"/>
  <c r="V29" i="1" s="1"/>
  <c r="H62" i="2"/>
  <c r="AD9" i="2"/>
  <c r="AB8" i="2"/>
  <c r="B62" i="2"/>
  <c r="B81" i="2" s="1"/>
  <c r="C61" i="2" l="1"/>
  <c r="C52" i="2"/>
  <c r="C55" i="2" s="1"/>
  <c r="C57" i="2" s="1"/>
  <c r="I54" i="2"/>
  <c r="I63" i="2"/>
  <c r="H61" i="2"/>
  <c r="H54" i="2"/>
  <c r="H63" i="2" s="1"/>
  <c r="H55" i="2"/>
  <c r="B55" i="2"/>
  <c r="B61" i="2"/>
  <c r="AB9" i="2"/>
  <c r="AD10" i="2"/>
  <c r="C64" i="2" l="1"/>
  <c r="C66" i="2" s="1"/>
  <c r="T27" i="1"/>
  <c r="H72" i="2"/>
  <c r="H74" i="2" s="1"/>
  <c r="H76" i="2" s="1"/>
  <c r="C63" i="2"/>
  <c r="B80" i="2"/>
  <c r="B83" i="2" s="1"/>
  <c r="B64" i="2"/>
  <c r="H80" i="2"/>
  <c r="H83" i="2" s="1"/>
  <c r="H64" i="2"/>
  <c r="AD11" i="2"/>
  <c r="AB10" i="2"/>
  <c r="H57" i="2"/>
  <c r="H56" i="2"/>
  <c r="B56" i="2"/>
  <c r="B57" i="2"/>
  <c r="T28" i="1" l="1"/>
  <c r="Q30" i="1"/>
  <c r="Q27" i="1"/>
  <c r="T29" i="1"/>
  <c r="U28" i="1"/>
  <c r="T31" i="1"/>
  <c r="S32" i="1" s="1"/>
  <c r="I74" i="2"/>
  <c r="I76" i="2" s="1"/>
  <c r="J76" i="2" s="1"/>
  <c r="B72" i="2"/>
  <c r="B74" i="2" s="1"/>
  <c r="B76" i="2" s="1"/>
  <c r="C54" i="2"/>
  <c r="B54" i="2"/>
  <c r="B63" i="2" s="1"/>
  <c r="B82" i="2" s="1"/>
  <c r="B85" i="2"/>
  <c r="B65" i="2"/>
  <c r="B66" i="2"/>
  <c r="AD12" i="2"/>
  <c r="AB11" i="2"/>
  <c r="H85" i="2"/>
  <c r="H65" i="2"/>
  <c r="H66" i="2"/>
  <c r="S28" i="1" l="1"/>
  <c r="S30" i="1"/>
  <c r="V31" i="1" s="1"/>
  <c r="E24" i="1"/>
  <c r="W20" i="1" s="1"/>
  <c r="H92" i="2"/>
  <c r="H75" i="2" s="1"/>
  <c r="I81" i="2"/>
  <c r="D12" i="5"/>
  <c r="C15" i="5"/>
  <c r="C74" i="2"/>
  <c r="C76" i="2" s="1"/>
  <c r="D76" i="2" s="1"/>
  <c r="I79" i="2"/>
  <c r="AD13" i="2"/>
  <c r="AB12" i="2"/>
  <c r="I80" i="2" l="1"/>
  <c r="I83" i="2" s="1"/>
  <c r="B92" i="2"/>
  <c r="J12" i="5" s="1"/>
  <c r="C79" i="2"/>
  <c r="B98" i="2"/>
  <c r="C81" i="2"/>
  <c r="AD14" i="2"/>
  <c r="AB13" i="2"/>
  <c r="B75" i="2" l="1"/>
  <c r="C80" i="2"/>
  <c r="C82" i="2" s="1"/>
  <c r="I82" i="2"/>
  <c r="AD15" i="2"/>
  <c r="AB14" i="2"/>
  <c r="I85" i="2"/>
  <c r="H84" i="2"/>
  <c r="H89" i="2" s="1"/>
  <c r="I89" i="2" l="1"/>
  <c r="M82" i="2"/>
  <c r="C113" i="2"/>
  <c r="C114" i="2"/>
  <c r="H113" i="2"/>
  <c r="H114" i="2"/>
  <c r="I102" i="2"/>
  <c r="L93" i="2"/>
  <c r="L95" i="2"/>
  <c r="I104" i="2"/>
  <c r="C83" i="2"/>
  <c r="C85" i="2" s="1"/>
  <c r="AD16" i="2"/>
  <c r="AB15" i="2"/>
  <c r="H93" i="2"/>
  <c r="H91" i="2"/>
  <c r="H90" i="2"/>
  <c r="H94" i="2" l="1"/>
  <c r="B84" i="2"/>
  <c r="B89" i="2" s="1"/>
  <c r="AB16" i="2"/>
  <c r="I21" i="2"/>
  <c r="C89" i="2" l="1"/>
  <c r="C88" i="2" s="1"/>
  <c r="L82" i="2"/>
  <c r="L84" i="2"/>
  <c r="L83" i="2"/>
  <c r="H111" i="2"/>
  <c r="H112" i="2"/>
  <c r="C110" i="2"/>
  <c r="C112" i="2"/>
  <c r="H110" i="2"/>
  <c r="C111" i="2"/>
  <c r="C108" i="2"/>
  <c r="H108" i="2"/>
  <c r="C109" i="2"/>
  <c r="H109" i="2"/>
  <c r="I103" i="2"/>
  <c r="B93" i="2"/>
  <c r="B90" i="2"/>
  <c r="B91" i="2"/>
  <c r="I88" i="2" l="1"/>
  <c r="I91" i="2" s="1"/>
  <c r="C93" i="2"/>
  <c r="C90" i="2"/>
  <c r="C91" i="2"/>
  <c r="O12" i="5"/>
  <c r="D90" i="2"/>
  <c r="D88" i="2" s="1"/>
  <c r="S209" i="1"/>
  <c r="B94" i="2"/>
  <c r="I93" i="2" l="1"/>
  <c r="P12" i="5" s="1"/>
  <c r="I90" i="2"/>
  <c r="R12" i="5" s="1"/>
  <c r="S12" i="5"/>
  <c r="C94" i="2"/>
  <c r="Q15" i="5" s="1"/>
  <c r="P14" i="5"/>
  <c r="I94" i="2" l="1"/>
  <c r="Q12" i="5" s="1"/>
  <c r="P15" i="5"/>
</calcChain>
</file>

<file path=xl/comments1.xml><?xml version="1.0" encoding="utf-8"?>
<comments xmlns="http://schemas.openxmlformats.org/spreadsheetml/2006/main">
  <authors>
    <author>Simon</author>
  </authors>
  <commentList>
    <comment ref="C10" authorId="0" shapeId="0">
      <text>
        <r>
          <rPr>
            <b/>
            <sz val="8"/>
            <color indexed="81"/>
            <rFont val="Tahoma"/>
            <family val="2"/>
          </rPr>
          <t>Simon:</t>
        </r>
        <r>
          <rPr>
            <sz val="8"/>
            <color indexed="81"/>
            <rFont val="Tahoma"/>
            <family val="2"/>
          </rPr>
          <t xml:space="preserve">
Preferred Spacing</t>
        </r>
      </text>
    </comment>
  </commentList>
</comments>
</file>

<file path=xl/comments2.xml><?xml version="1.0" encoding="utf-8"?>
<comments xmlns="http://schemas.openxmlformats.org/spreadsheetml/2006/main">
  <authors>
    <author>Simon</author>
  </authors>
  <commentList>
    <comment ref="AD4" authorId="0" shapeId="0">
      <text>
        <r>
          <rPr>
            <b/>
            <sz val="9"/>
            <color indexed="81"/>
            <rFont val="Tahoma"/>
            <family val="2"/>
          </rPr>
          <t>Simon:</t>
        </r>
        <r>
          <rPr>
            <sz val="9"/>
            <color indexed="81"/>
            <rFont val="Tahoma"/>
            <family val="2"/>
          </rPr>
          <t xml:space="preserve">
filter type (ceiling or wall)</t>
        </r>
      </text>
    </comment>
    <comment ref="AD5" authorId="0" shapeId="0">
      <text>
        <r>
          <rPr>
            <b/>
            <sz val="9"/>
            <color indexed="81"/>
            <rFont val="Tahoma"/>
            <family val="2"/>
          </rPr>
          <t>Simon:</t>
        </r>
        <r>
          <rPr>
            <sz val="9"/>
            <color indexed="81"/>
            <rFont val="Tahoma"/>
            <family val="2"/>
          </rPr>
          <t xml:space="preserve">
Filter colour</t>
        </r>
      </text>
    </comment>
    <comment ref="U28" authorId="0" shapeId="0">
      <text>
        <r>
          <rPr>
            <b/>
            <sz val="9"/>
            <color indexed="81"/>
            <rFont val="Tahoma"/>
            <family val="2"/>
          </rPr>
          <t>Simon:</t>
        </r>
        <r>
          <rPr>
            <sz val="9"/>
            <color indexed="81"/>
            <rFont val="Tahoma"/>
            <family val="2"/>
          </rPr>
          <t xml:space="preserve">
Max diameter</t>
        </r>
      </text>
    </comment>
    <comment ref="T29" authorId="0" shapeId="0">
      <text>
        <r>
          <rPr>
            <b/>
            <sz val="9"/>
            <color indexed="81"/>
            <rFont val="Tahoma"/>
            <family val="2"/>
          </rPr>
          <t>Simon:</t>
        </r>
        <r>
          <rPr>
            <sz val="9"/>
            <color indexed="81"/>
            <rFont val="Tahoma"/>
            <family val="2"/>
          </rPr>
          <t xml:space="preserve">
Max spacing</t>
        </r>
      </text>
    </comment>
    <comment ref="T31" authorId="0" shapeId="0">
      <text>
        <r>
          <rPr>
            <b/>
            <sz val="9"/>
            <color indexed="81"/>
            <rFont val="Tahoma"/>
            <family val="2"/>
          </rPr>
          <t>Simon:</t>
        </r>
        <r>
          <rPr>
            <sz val="9"/>
            <color indexed="81"/>
            <rFont val="Tahoma"/>
            <family val="2"/>
          </rPr>
          <t xml:space="preserve">
Max Height</t>
        </r>
      </text>
    </comment>
  </commentList>
</comments>
</file>

<file path=xl/comments3.xml><?xml version="1.0" encoding="utf-8"?>
<comments xmlns="http://schemas.openxmlformats.org/spreadsheetml/2006/main">
  <authors>
    <author>Simon</author>
  </authors>
  <commentList>
    <comment ref="B72" authorId="0" shapeId="0">
      <text>
        <r>
          <rPr>
            <b/>
            <sz val="9"/>
            <color indexed="81"/>
            <rFont val="Tahoma"/>
            <family val="2"/>
          </rPr>
          <t>Simon:</t>
        </r>
        <r>
          <rPr>
            <sz val="9"/>
            <color indexed="81"/>
            <rFont val="Tahoma"/>
            <family val="2"/>
          </rPr>
          <t xml:space="preserve">
Suggest 10% factor before reducing spacing
</t>
        </r>
      </text>
    </comment>
    <comment ref="A76" authorId="0" shapeId="0">
      <text>
        <r>
          <rPr>
            <b/>
            <sz val="9"/>
            <color indexed="81"/>
            <rFont val="Tahoma"/>
            <family val="2"/>
          </rPr>
          <t>Simon:</t>
        </r>
        <r>
          <rPr>
            <sz val="9"/>
            <color indexed="81"/>
            <rFont val="Tahoma"/>
            <family val="2"/>
          </rPr>
          <t xml:space="preserve">
This is the coverage of VADs with the coverage adjusted to take account of actual qty of points
</t>
        </r>
      </text>
    </comment>
    <comment ref="G76" authorId="0" shapeId="0">
      <text>
        <r>
          <rPr>
            <b/>
            <sz val="9"/>
            <color indexed="81"/>
            <rFont val="Tahoma"/>
            <family val="2"/>
          </rPr>
          <t>Simon:</t>
        </r>
        <r>
          <rPr>
            <sz val="9"/>
            <color indexed="81"/>
            <rFont val="Tahoma"/>
            <family val="2"/>
          </rPr>
          <t xml:space="preserve">
This is the coverage of VADs with the coverage adjusted to take account of actual qty of points
</t>
        </r>
      </text>
    </comment>
    <comment ref="L82" authorId="0" shapeId="0">
      <text>
        <r>
          <rPr>
            <b/>
            <sz val="8"/>
            <color indexed="81"/>
            <rFont val="Tahoma"/>
            <family val="2"/>
          </rPr>
          <t>Simon:</t>
        </r>
        <r>
          <rPr>
            <sz val="8"/>
            <color indexed="81"/>
            <rFont val="Tahoma"/>
            <family val="2"/>
          </rPr>
          <t xml:space="preserve">
True if standard power is availablre for ceiling</t>
        </r>
      </text>
    </comment>
    <comment ref="C88" authorId="0" shapeId="0">
      <text>
        <r>
          <rPr>
            <b/>
            <sz val="8"/>
            <color indexed="81"/>
            <rFont val="Tahoma"/>
            <family val="2"/>
          </rPr>
          <t>Simon:</t>
        </r>
        <r>
          <rPr>
            <sz val="8"/>
            <color indexed="81"/>
            <rFont val="Tahoma"/>
            <family val="2"/>
          </rPr>
          <t xml:space="preserve">
shows low output for HPW device if the Standard unit is not selected
</t>
        </r>
      </text>
    </comment>
  </commentList>
</comments>
</file>

<file path=xl/comments4.xml><?xml version="1.0" encoding="utf-8"?>
<comments xmlns="http://schemas.openxmlformats.org/spreadsheetml/2006/main">
  <authors>
    <author>Simon</author>
  </authors>
  <commentList>
    <comment ref="C11" authorId="0" shapeId="0">
      <text>
        <r>
          <rPr>
            <b/>
            <sz val="8"/>
            <color indexed="81"/>
            <rFont val="Tahoma"/>
            <family val="2"/>
          </rPr>
          <t>Simon:</t>
        </r>
        <r>
          <rPr>
            <sz val="8"/>
            <color indexed="81"/>
            <rFont val="Tahoma"/>
            <family val="2"/>
          </rPr>
          <t xml:space="preserve">
Preferred Spacing</t>
        </r>
      </text>
    </comment>
  </commentList>
</comments>
</file>

<file path=xl/sharedStrings.xml><?xml version="1.0" encoding="utf-8"?>
<sst xmlns="http://schemas.openxmlformats.org/spreadsheetml/2006/main" count="627" uniqueCount="300">
  <si>
    <t>Colour</t>
  </si>
  <si>
    <t>Direct/Indirect</t>
  </si>
  <si>
    <t>Ambient Light</t>
  </si>
  <si>
    <t>Type</t>
  </si>
  <si>
    <t>Ceiling VAD ratings</t>
  </si>
  <si>
    <t>Wall VAD Ratings</t>
  </si>
  <si>
    <t>Measured Ambient</t>
  </si>
  <si>
    <t>Look up</t>
  </si>
  <si>
    <t>Certifed Cats</t>
  </si>
  <si>
    <t>Heigth</t>
  </si>
  <si>
    <t>Diam</t>
  </si>
  <si>
    <t>Height</t>
  </si>
  <si>
    <t>Cuboid</t>
  </si>
  <si>
    <t>Filter for part number selection</t>
  </si>
  <si>
    <t>Red</t>
  </si>
  <si>
    <t>Direct</t>
  </si>
  <si>
    <t>Ceiling</t>
  </si>
  <si>
    <t>Red / High Output</t>
  </si>
  <si>
    <t>C-4.5-14</t>
  </si>
  <si>
    <t>High Power</t>
  </si>
  <si>
    <t>White</t>
  </si>
  <si>
    <t>Indirect</t>
  </si>
  <si>
    <t>Wall</t>
  </si>
  <si>
    <t>Red / Med Output</t>
  </si>
  <si>
    <t>C-4-13</t>
  </si>
  <si>
    <t>Medium Power</t>
  </si>
  <si>
    <t>VAD only</t>
  </si>
  <si>
    <t>Red / Low Output</t>
  </si>
  <si>
    <t>C-3-10</t>
  </si>
  <si>
    <t>Low Power</t>
  </si>
  <si>
    <t>Voice and VAD</t>
  </si>
  <si>
    <t>Correction Factor</t>
  </si>
  <si>
    <t>Standard</t>
  </si>
  <si>
    <t>White / High Output</t>
  </si>
  <si>
    <t>C-6-16</t>
  </si>
  <si>
    <t>Sounder and VAD</t>
  </si>
  <si>
    <t>White / Med Output</t>
  </si>
  <si>
    <t>C-5-14</t>
  </si>
  <si>
    <t>Indoor</t>
  </si>
  <si>
    <t>White / Low Output</t>
  </si>
  <si>
    <t>C-4-10.8</t>
  </si>
  <si>
    <t>Outdoor</t>
  </si>
  <si>
    <t>White / Standard</t>
  </si>
  <si>
    <t>N/A - Power not configurable</t>
  </si>
  <si>
    <t>White / High Output ***</t>
  </si>
  <si>
    <t>Red / High Output ***</t>
  </si>
  <si>
    <t>Red / Standard</t>
  </si>
  <si>
    <t>Ceiling mount direct view</t>
  </si>
  <si>
    <t>Ceiling mount indirect view</t>
  </si>
  <si>
    <t>Wall mount direct view</t>
  </si>
  <si>
    <t>Wall mount indirect view</t>
  </si>
  <si>
    <t>Ceiling height</t>
  </si>
  <si>
    <t>Sensor Spacing</t>
  </si>
  <si>
    <t>Lux level</t>
  </si>
  <si>
    <t>(lux)</t>
  </si>
  <si>
    <t>Dark &lt; 100 Lux</t>
  </si>
  <si>
    <t>Well Below Average  (100 to 200 Lux)</t>
  </si>
  <si>
    <t>Below Average (200 to 300 Lux)</t>
  </si>
  <si>
    <t>Dets for length</t>
  </si>
  <si>
    <t>Spacing</t>
  </si>
  <si>
    <t>Just Below Average (300 to 400 Lux)</t>
  </si>
  <si>
    <t>Dets for width</t>
  </si>
  <si>
    <t>Just Above Average (400 to 500 Lux)</t>
  </si>
  <si>
    <t>Total Dets</t>
  </si>
  <si>
    <t>Above Average (500 to 600 Lux)</t>
  </si>
  <si>
    <t>Det Spacing</t>
  </si>
  <si>
    <t>Well Above Average (600 to 700 Lux)</t>
  </si>
  <si>
    <t>a</t>
  </si>
  <si>
    <t>Heat - Corridor</t>
  </si>
  <si>
    <t>Bright Light (700 to 800 Lux)</t>
  </si>
  <si>
    <t>i</t>
  </si>
  <si>
    <t xml:space="preserve">Ideal </t>
  </si>
  <si>
    <t>Room Number</t>
  </si>
  <si>
    <t>Adjusted</t>
  </si>
  <si>
    <t>hhhhhh</t>
  </si>
  <si>
    <t>power setting</t>
  </si>
  <si>
    <t>loop load</t>
  </si>
  <si>
    <t>LOOP Load</t>
  </si>
  <si>
    <t>max spacing</t>
  </si>
  <si>
    <t>certified category</t>
  </si>
  <si>
    <t>Max Height</t>
  </si>
  <si>
    <t>S4-711-V-VAD-LPW</t>
  </si>
  <si>
    <t>Check for filter</t>
  </si>
  <si>
    <t>Sounder</t>
  </si>
  <si>
    <t>Standard or High power</t>
  </si>
  <si>
    <r>
      <t>O</t>
    </r>
    <r>
      <rPr>
        <vertAlign val="superscript"/>
        <sz val="8"/>
        <color indexed="8"/>
        <rFont val="Arial"/>
        <family val="2"/>
      </rPr>
      <t>2</t>
    </r>
    <r>
      <rPr>
        <sz val="8"/>
        <color indexed="8"/>
        <rFont val="Arial"/>
        <family val="2"/>
      </rPr>
      <t>H Sensor  - Red VAD</t>
    </r>
  </si>
  <si>
    <t>S4-711-VAD-HPR</t>
  </si>
  <si>
    <t>O2H Sensor  - Red VAD</t>
  </si>
  <si>
    <r>
      <t>O</t>
    </r>
    <r>
      <rPr>
        <vertAlign val="superscript"/>
        <sz val="8"/>
        <color indexed="8"/>
        <rFont val="Arial"/>
        <family val="2"/>
      </rPr>
      <t>2</t>
    </r>
    <r>
      <rPr>
        <sz val="8"/>
        <color indexed="8"/>
        <rFont val="Arial"/>
        <family val="2"/>
      </rPr>
      <t>H Voice Sensor Sounder  - Red VAD</t>
    </r>
  </si>
  <si>
    <t>S4-711-V-VAD-HPR</t>
  </si>
  <si>
    <t>O2H Voice Sensor Sounder  - Red VAD</t>
  </si>
  <si>
    <r>
      <t>O</t>
    </r>
    <r>
      <rPr>
        <vertAlign val="superscript"/>
        <sz val="8"/>
        <color indexed="8"/>
        <rFont val="Arial"/>
        <family val="2"/>
      </rPr>
      <t>2</t>
    </r>
    <r>
      <rPr>
        <sz val="8"/>
        <color indexed="8"/>
        <rFont val="Arial"/>
        <family val="2"/>
      </rPr>
      <t>HCO Voice Sensor Sounder  - Red VAD</t>
    </r>
  </si>
  <si>
    <t>S4-911-V-VAD-HPR</t>
  </si>
  <si>
    <t>O2HCO Voice Sensor Sounder  - Red VAD</t>
  </si>
  <si>
    <t>HEAT Voice Sensor Sounder  - Red VAD</t>
  </si>
  <si>
    <t>S4-720-V-VAD-HPR</t>
  </si>
  <si>
    <t xml:space="preserve">O2H Sensor  - White VAD </t>
  </si>
  <si>
    <t>S4-711-VAD-HPW</t>
  </si>
  <si>
    <t xml:space="preserve">O2H Voice Sensor Sounder  - White VAD </t>
  </si>
  <si>
    <t>S4-711-V-VAD-HPW</t>
  </si>
  <si>
    <t xml:space="preserve">O2HCO Voice Sensor Sndr  - White VAD </t>
  </si>
  <si>
    <t>S4-911-V-VAD-HPW</t>
  </si>
  <si>
    <t>Check Room Name</t>
  </si>
  <si>
    <t xml:space="preserve">Heat Voice Sensor Sounder  - White VAD </t>
  </si>
  <si>
    <t>S4-720-V-VAD-HPW</t>
  </si>
  <si>
    <r>
      <t>O</t>
    </r>
    <r>
      <rPr>
        <vertAlign val="superscript"/>
        <sz val="8"/>
        <color indexed="8"/>
        <rFont val="Arial"/>
        <family val="2"/>
      </rPr>
      <t>2</t>
    </r>
    <r>
      <rPr>
        <sz val="8"/>
        <color indexed="8"/>
        <rFont val="Arial"/>
        <family val="2"/>
      </rPr>
      <t>H Voice Sensor Sounder - Red VAD (standared power)</t>
    </r>
  </si>
  <si>
    <t>S4-711-V-VAD-LPR</t>
  </si>
  <si>
    <t>O2H Voice Sensor Sounder - Red VAD (standard)</t>
  </si>
  <si>
    <r>
      <t>O</t>
    </r>
    <r>
      <rPr>
        <vertAlign val="superscript"/>
        <sz val="8"/>
        <color indexed="8"/>
        <rFont val="Arial"/>
        <family val="2"/>
      </rPr>
      <t>2</t>
    </r>
    <r>
      <rPr>
        <sz val="8"/>
        <color indexed="8"/>
        <rFont val="Arial"/>
        <family val="2"/>
      </rPr>
      <t>H Voice Sensor Sounder - White VAD (standared power)</t>
    </r>
  </si>
  <si>
    <t>O2H Voice Sensor Sounder - White VAD (standard)</t>
  </si>
  <si>
    <t>S3 Sounder/Red Body</t>
  </si>
  <si>
    <t>S3-S-R</t>
  </si>
  <si>
    <t>S3 Voice Sounder/Red Body</t>
  </si>
  <si>
    <t>S3-V-R</t>
  </si>
  <si>
    <t xml:space="preserve">S3 Sounder/White Body </t>
  </si>
  <si>
    <t>S3-S-W</t>
  </si>
  <si>
    <t>S3 Voice Sounder/White Body</t>
  </si>
  <si>
    <t>S3-V-W</t>
  </si>
  <si>
    <t>S3 VAD/HP White VAD/Red body</t>
  </si>
  <si>
    <t>S3-VAD-HPW-R</t>
  </si>
  <si>
    <t>S3 High Perfromance Red VAD/Red Body</t>
  </si>
  <si>
    <t>S3-VAD-HPR-R</t>
  </si>
  <si>
    <t>S3 Sounder/HP White VAD/Red Body</t>
  </si>
  <si>
    <t>S3-S-VAD-HPW-R</t>
  </si>
  <si>
    <t>S3 Sndr/High Perf Red VAD/Red Body</t>
  </si>
  <si>
    <t>S3-S-VAD-HPR-R</t>
  </si>
  <si>
    <t>S3 Sounder/HP White VAD/White Body</t>
  </si>
  <si>
    <t>S3-S-VAD-HPW-W</t>
  </si>
  <si>
    <t>S3 Sndr/High Perf Red VAD/White Body</t>
  </si>
  <si>
    <t>S3-S-VAD-HPR-W</t>
  </si>
  <si>
    <t>S3 Voice Sndr/HP White VAD/Red Body</t>
  </si>
  <si>
    <t>S3-V-VAD-HPW-R</t>
  </si>
  <si>
    <t>S3 Voice Sndr/HP Red VAD/Red Body</t>
  </si>
  <si>
    <t>S3-V-VAD-HPR-R</t>
  </si>
  <si>
    <t>S3 Sounder/Red Body/IP66</t>
  </si>
  <si>
    <t>S3EP-S-R</t>
  </si>
  <si>
    <t>S3 VAD/HP White VAD/Red Body/IP66</t>
  </si>
  <si>
    <t>S3EP-VAD-HPW-R</t>
  </si>
  <si>
    <t>S3 VAD/HP Red VAD/Red Body/IP66</t>
  </si>
  <si>
    <t>S3EP-VAD-HPR-R</t>
  </si>
  <si>
    <t>S3 Voice Sndr/HP White VAD/Red Body/IP66</t>
  </si>
  <si>
    <t>S3EP-V-VAD-HPW-R</t>
  </si>
  <si>
    <t>S3 Voice Sndr/HP Red VAD/Red Body/IP66</t>
  </si>
  <si>
    <t>S3EP-V-VAD-HPR-R</t>
  </si>
  <si>
    <t>SenTri/Sounder/Red Body</t>
  </si>
  <si>
    <t>SEN-S-R</t>
  </si>
  <si>
    <t>SenTri/White High Performance VAD</t>
  </si>
  <si>
    <t>SEN-VAD-HPW-R</t>
  </si>
  <si>
    <t>SenTri/Red High Performance VAD</t>
  </si>
  <si>
    <t>SEN-VAD-HPR-R</t>
  </si>
  <si>
    <t>SenTri Sounder/HP White VAD/Red Body</t>
  </si>
  <si>
    <t>SEN-S-VAD-HPW-R</t>
  </si>
  <si>
    <t>SenTri Voice Sndr/Red VAD/White Body</t>
  </si>
  <si>
    <t>SEN-S-VAD-HPR-R</t>
  </si>
  <si>
    <t>SenTri/Sounder/Red Body/IP66</t>
  </si>
  <si>
    <t>SEN-S-EP-R</t>
  </si>
  <si>
    <t>SenTri/Sounder/White HP VAD/IP66</t>
  </si>
  <si>
    <t>SEN-S-VAD-HPW-EP-R</t>
  </si>
  <si>
    <t>SenTri/Sounder/Red HP VAD/IP66</t>
  </si>
  <si>
    <t>SEN-S-VAD-HPR-EP-R</t>
  </si>
  <si>
    <t>S3 Sounder/Standard power  White VAD/Red Body</t>
  </si>
  <si>
    <t>S3-S-VAD-LPW-R</t>
  </si>
  <si>
    <t>S3 Sndr/Standard Power Red VAD/Red Body</t>
  </si>
  <si>
    <t>S3-S-VAD-LPR-R</t>
  </si>
  <si>
    <t>SEN-770-VAD-HPW</t>
  </si>
  <si>
    <t>SEN-780-VAD-HPW</t>
  </si>
  <si>
    <t>SEN-770-VAD-HPR</t>
  </si>
  <si>
    <t>SEN-780-VAD-HPR</t>
  </si>
  <si>
    <t>Room ID</t>
  </si>
  <si>
    <t>Room Name</t>
  </si>
  <si>
    <t>Detector Spacing</t>
  </si>
  <si>
    <t>VAD Spacing</t>
  </si>
  <si>
    <t>Device Colour</t>
  </si>
  <si>
    <t>Line of Sight</t>
  </si>
  <si>
    <t>Length</t>
  </si>
  <si>
    <t>Width</t>
  </si>
  <si>
    <t>Mounting Height</t>
  </si>
  <si>
    <t>Area of Room</t>
  </si>
  <si>
    <t>Device Type</t>
  </si>
  <si>
    <t>Quantity</t>
  </si>
  <si>
    <t>Certified Category</t>
  </si>
  <si>
    <t>***
Max Mounting Height</t>
  </si>
  <si>
    <t>***
Max Spacing of VAD</t>
  </si>
  <si>
    <t>Ceiling Height</t>
  </si>
  <si>
    <t>Line of sight</t>
  </si>
  <si>
    <t>Ambient</t>
  </si>
  <si>
    <t xml:space="preserve">Ceiling direct </t>
  </si>
  <si>
    <t xml:space="preserve">Ceiling indirect </t>
  </si>
  <si>
    <t>Wall direct</t>
  </si>
  <si>
    <t>Wall indirect</t>
  </si>
  <si>
    <t>correction factor</t>
  </si>
  <si>
    <t>Room Dimension</t>
  </si>
  <si>
    <t>Smoke det spacing</t>
  </si>
  <si>
    <t>Sounder spacing</t>
  </si>
  <si>
    <t>Best fit</t>
  </si>
  <si>
    <t>Recommended</t>
  </si>
  <si>
    <t xml:space="preserve">Coverage Best fit </t>
  </si>
  <si>
    <t>Coverage recommended</t>
  </si>
  <si>
    <t>Detection Tech</t>
  </si>
  <si>
    <t>Length of Room</t>
  </si>
  <si>
    <t>Width of room</t>
  </si>
  <si>
    <t>Height of Room</t>
  </si>
  <si>
    <t>Wall active</t>
  </si>
  <si>
    <t>Ceiling Active</t>
  </si>
  <si>
    <t>No of points for Detection</t>
  </si>
  <si>
    <t>Total Dets (just for smoke detection</t>
  </si>
  <si>
    <t>Spacing (width)</t>
  </si>
  <si>
    <t>Spacing (Length)</t>
  </si>
  <si>
    <t>Ideal Spacing</t>
  </si>
  <si>
    <t>Size of Room</t>
  </si>
  <si>
    <t>Detector spacing</t>
  </si>
  <si>
    <t>No of sounders</t>
  </si>
  <si>
    <t>Total Sdrs (just for sound)</t>
  </si>
  <si>
    <t>Room Name Check</t>
  </si>
  <si>
    <t>Calculate Qty</t>
  </si>
  <si>
    <t xml:space="preserve">VAD Spacing </t>
  </si>
  <si>
    <t>width</t>
  </si>
  <si>
    <t xml:space="preserve">Qty of points </t>
  </si>
  <si>
    <t>Design Spacing</t>
  </si>
  <si>
    <t>Design Coverage</t>
  </si>
  <si>
    <t xml:space="preserve">Rated Coverage Best fit </t>
  </si>
  <si>
    <t>Selected VAD</t>
  </si>
  <si>
    <t>Max Spacing</t>
  </si>
  <si>
    <t>Certified Rating</t>
  </si>
  <si>
    <t>Corrected Rating</t>
  </si>
  <si>
    <t>Selected Colour</t>
  </si>
  <si>
    <t>selected view</t>
  </si>
  <si>
    <t>Difference in height</t>
  </si>
  <si>
    <t xml:space="preserve">Margin allowed Factor </t>
  </si>
  <si>
    <t>Qty of wall devices</t>
  </si>
  <si>
    <t>Wall Height</t>
  </si>
  <si>
    <t>Wall Mount Height</t>
  </si>
  <si>
    <t>Intensity</t>
  </si>
  <si>
    <t>Qty</t>
  </si>
  <si>
    <t xml:space="preserve">Ceiling </t>
  </si>
  <si>
    <t>Large Room</t>
  </si>
  <si>
    <t>Intensity (W)</t>
  </si>
  <si>
    <t>Qty (W)</t>
  </si>
  <si>
    <t>Int</t>
  </si>
  <si>
    <t>Q</t>
  </si>
  <si>
    <t>20 x 15 x 3</t>
  </si>
  <si>
    <t>Sounder Spacing</t>
  </si>
  <si>
    <t>Wal Sdr Y/N</t>
  </si>
  <si>
    <t>ambient sound level</t>
  </si>
  <si>
    <t>Target SPL</t>
  </si>
  <si>
    <t>Calculated Max Sdr Spacing</t>
  </si>
  <si>
    <t>Required SPL</t>
  </si>
  <si>
    <t>set required SPL</t>
  </si>
  <si>
    <t>Project Name</t>
  </si>
  <si>
    <t>Open or Corridoor</t>
  </si>
  <si>
    <t>Visual Alarm Estimator's Tool</t>
  </si>
  <si>
    <t>Room</t>
  </si>
  <si>
    <t>VAD colour</t>
  </si>
  <si>
    <t>Room Dims</t>
  </si>
  <si>
    <t>Ambient Light Level</t>
  </si>
  <si>
    <t>line of sight wall</t>
  </si>
  <si>
    <t>Actual Spacing</t>
  </si>
  <si>
    <t>redstandard ceiling</t>
  </si>
  <si>
    <t>redHP ceiling</t>
  </si>
  <si>
    <t>part Numbers</t>
  </si>
  <si>
    <t>VADcolour</t>
  </si>
  <si>
    <r>
      <t>O</t>
    </r>
    <r>
      <rPr>
        <vertAlign val="superscript"/>
        <sz val="8"/>
        <color indexed="8"/>
        <rFont val="Arial"/>
        <family val="2"/>
      </rPr>
      <t>2</t>
    </r>
    <r>
      <rPr>
        <sz val="8"/>
        <color indexed="8"/>
        <rFont val="Arial"/>
        <family val="2"/>
      </rPr>
      <t>H Voice Sensor Sounder - White VAD (LPW)</t>
    </r>
  </si>
  <si>
    <r>
      <t>O</t>
    </r>
    <r>
      <rPr>
        <vertAlign val="superscript"/>
        <sz val="8"/>
        <color indexed="8"/>
        <rFont val="Arial"/>
        <family val="2"/>
      </rPr>
      <t>2</t>
    </r>
    <r>
      <rPr>
        <sz val="8"/>
        <color indexed="8"/>
        <rFont val="Arial"/>
        <family val="2"/>
      </rPr>
      <t>H Voice Sensor Sounder - Red VAD (LPR)</t>
    </r>
  </si>
  <si>
    <t>Room Length</t>
  </si>
  <si>
    <t>Part Ref</t>
  </si>
  <si>
    <t>part Desc</t>
  </si>
  <si>
    <t>Preferred Detector /Sounder Spacing</t>
  </si>
  <si>
    <t>mounting Height</t>
  </si>
  <si>
    <t>Device setting</t>
  </si>
  <si>
    <t>Corrected coverage</t>
  </si>
  <si>
    <t>S-Quad Visual Alarm Estimate Summary</t>
  </si>
  <si>
    <t>Part Desc</t>
  </si>
  <si>
    <t>OR(selectedwallvad="White / Standard",selectedwallvad="Red / Standard",selectedceilingvad="Red / Standard",selectedceilingvad="White / Standard")</t>
  </si>
  <si>
    <t>Project name</t>
  </si>
  <si>
    <t>Smoke - Open Area</t>
  </si>
  <si>
    <t>Heat - Open Area</t>
  </si>
  <si>
    <t>IF(spacingreccwall&lt;=((C72)*spacingidealsdr),spacingreccwall,spacingidealsdr)</t>
  </si>
  <si>
    <t>VAD Colour</t>
  </si>
  <si>
    <t>S-Quad &amp; S-Cubed Visual Alarm Estimate Summary</t>
  </si>
  <si>
    <t>Light Level</t>
  </si>
  <si>
    <t>*** Above 600 Lux it is recommended a lighting specialist is consulted for advice</t>
  </si>
  <si>
    <t>Smoke - Corridor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</si>
  <si>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</si>
  <si>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</si>
  <si>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</si>
  <si>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</si>
  <si>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</si>
  <si>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</si>
  <si>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</si>
  <si>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</si>
  <si>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</si>
  <si>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</si>
  <si>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</si>
  <si>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</si>
  <si>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S3 VAD/HP Red VAD/Red body</t>
  </si>
  <si>
    <t>Open Area</t>
  </si>
  <si>
    <t>IF(Wall_Sdr_Y_N=0,"none",</t>
  </si>
  <si>
    <t>EN54 - 23:2010</t>
  </si>
  <si>
    <t>Room 1</t>
  </si>
  <si>
    <t>20th March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</si>
</sst>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64" formatCode="0.0"/>
    <numFmt numFmtId="165" formatCode="0.0#&quot;m&quot;"/>
    <numFmt numFmtId="166" formatCode="#.0#&quot;m&quot;"/>
    <numFmt numFmtId="167" formatCode="0&quot; Lux&quot;"/>
    <numFmt numFmtId="168" formatCode="&quot;Height&quot;\ 0.0#&quot;m&quot;"/>
    <numFmt numFmtId="169" formatCode="&quot;Det spacing = &quot;#.0#&quot;m&quot;"/>
    <numFmt numFmtId="170" formatCode="&quot;Room&quot;\ 0"/>
    <numFmt numFmtId="171" formatCode="0.0&quot;m&quot;"/>
    <numFmt numFmtId="172" formatCode="0&quot; m2&quot;"/>
    <numFmt numFmtId="173" formatCode="&quot;Max Height = &quot;0.0#&quot;m&quot;"/>
    <numFmt numFmtId="174" formatCode="&quot;Max spacing = &quot;0.0&quot;m&quot;"/>
    <numFmt numFmtId="175" formatCode="[$-809]dd\ mmmm\ yyyy;@"/>
    <numFmt numFmtId="176" formatCode="[$-F800]dddd\,\ mmmm\ dd\,\ yyyy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36"/>
      <color rgb="FF00FF00"/>
      <name val="Webdings"/>
      <family val="1"/>
      <charset val="2"/>
    </font>
    <font>
      <sz val="24"/>
      <color rgb="FFFF0000"/>
      <name val="Webdings"/>
      <family val="1"/>
      <charset val="2"/>
    </font>
    <font>
      <b/>
      <sz val="11"/>
      <color rgb="FFFF0000"/>
      <name val="Calibri"/>
      <family val="2"/>
      <scheme val="minor"/>
    </font>
    <font>
      <sz val="8"/>
      <color indexed="8"/>
      <name val="Arial"/>
      <family val="2"/>
    </font>
    <font>
      <vertAlign val="superscript"/>
      <sz val="8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1"/>
      <color theme="1"/>
      <name val="Arial Black"/>
      <family val="2"/>
    </font>
    <font>
      <b/>
      <sz val="12"/>
      <color theme="1"/>
      <name val="Arial Black"/>
      <family val="2"/>
    </font>
    <font>
      <b/>
      <sz val="14"/>
      <color theme="1"/>
      <name val="Arial Black"/>
      <family val="2"/>
    </font>
    <font>
      <sz val="36"/>
      <color theme="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BDEE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7EFF6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46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 applyAlignment="1">
      <alignment wrapText="1"/>
    </xf>
    <xf numFmtId="0" fontId="0" fillId="4" borderId="0" xfId="0" applyFill="1" applyAlignment="1">
      <alignment horizontal="center" vertical="center"/>
    </xf>
    <xf numFmtId="0" fontId="0" fillId="4" borderId="0" xfId="0" applyFill="1"/>
    <xf numFmtId="0" fontId="0" fillId="5" borderId="0" xfId="0" applyFill="1"/>
    <xf numFmtId="0" fontId="3" fillId="2" borderId="0" xfId="0" applyFont="1" applyFill="1"/>
    <xf numFmtId="0" fontId="3" fillId="4" borderId="0" xfId="0" applyFont="1" applyFill="1"/>
    <xf numFmtId="0" fontId="3" fillId="5" borderId="0" xfId="0" applyFont="1" applyFill="1"/>
    <xf numFmtId="0" fontId="5" fillId="4" borderId="0" xfId="0" applyFont="1" applyFill="1" applyAlignment="1">
      <alignment wrapText="1"/>
    </xf>
    <xf numFmtId="0" fontId="6" fillId="5" borderId="0" xfId="0" applyFont="1" applyFill="1"/>
    <xf numFmtId="164" fontId="0" fillId="0" borderId="0" xfId="0" applyNumberFormat="1"/>
    <xf numFmtId="0" fontId="0" fillId="0" borderId="0" xfId="0" applyAlignment="1">
      <alignment wrapText="1"/>
    </xf>
    <xf numFmtId="2" fontId="0" fillId="0" borderId="0" xfId="0" applyNumberFormat="1"/>
    <xf numFmtId="0" fontId="0" fillId="6" borderId="0" xfId="0" applyFill="1"/>
    <xf numFmtId="0" fontId="0" fillId="7" borderId="0" xfId="0" applyFill="1"/>
    <xf numFmtId="0" fontId="8" fillId="0" borderId="0" xfId="0" applyFont="1"/>
    <xf numFmtId="0" fontId="0" fillId="9" borderId="0" xfId="0" applyFill="1"/>
    <xf numFmtId="166" fontId="3" fillId="7" borderId="0" xfId="0" applyNumberFormat="1" applyFont="1" applyFill="1"/>
    <xf numFmtId="0" fontId="2" fillId="11" borderId="0" xfId="0" applyFont="1" applyFill="1" applyAlignment="1">
      <alignment horizontal="center" vertical="center"/>
    </xf>
    <xf numFmtId="167" fontId="2" fillId="11" borderId="0" xfId="0" applyNumberFormat="1" applyFont="1" applyFill="1" applyAlignment="1">
      <alignment horizontal="center" vertical="center"/>
    </xf>
    <xf numFmtId="165" fontId="0" fillId="6" borderId="0" xfId="0" applyNumberFormat="1" applyFill="1"/>
    <xf numFmtId="0" fontId="0" fillId="7" borderId="0" xfId="0" applyFill="1" applyAlignment="1">
      <alignment wrapText="1"/>
    </xf>
    <xf numFmtId="164" fontId="0" fillId="9" borderId="0" xfId="0" applyNumberFormat="1" applyFill="1"/>
    <xf numFmtId="164" fontId="0" fillId="0" borderId="0" xfId="0" applyNumberFormat="1" applyAlignment="1">
      <alignment horizontal="left"/>
    </xf>
    <xf numFmtId="168" fontId="2" fillId="12" borderId="0" xfId="0" applyNumberFormat="1" applyFont="1" applyFill="1"/>
    <xf numFmtId="169" fontId="2" fillId="12" borderId="0" xfId="0" applyNumberFormat="1" applyFont="1" applyFill="1"/>
    <xf numFmtId="165" fontId="0" fillId="0" borderId="0" xfId="0" applyNumberFormat="1"/>
    <xf numFmtId="2" fontId="0" fillId="9" borderId="0" xfId="0" applyNumberFormat="1" applyFill="1"/>
    <xf numFmtId="1" fontId="0" fillId="0" borderId="0" xfId="0" applyNumberFormat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11" fillId="0" borderId="0" xfId="0" applyFont="1"/>
    <xf numFmtId="164" fontId="11" fillId="0" borderId="0" xfId="0" applyNumberFormat="1" applyFont="1"/>
    <xf numFmtId="0" fontId="11" fillId="0" borderId="0" xfId="0" applyNumberFormat="1" applyFont="1"/>
    <xf numFmtId="0" fontId="0" fillId="0" borderId="1" xfId="0" applyBorder="1"/>
    <xf numFmtId="0" fontId="12" fillId="13" borderId="1" xfId="0" applyFont="1" applyFill="1" applyBorder="1" applyAlignment="1">
      <alignment horizontal="left"/>
    </xf>
    <xf numFmtId="0" fontId="0" fillId="14" borderId="0" xfId="0" applyFill="1"/>
    <xf numFmtId="0" fontId="12" fillId="13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3" xfId="0" applyFill="1" applyBorder="1"/>
    <xf numFmtId="0" fontId="4" fillId="0" borderId="1" xfId="0" applyFont="1" applyBorder="1" applyAlignment="1">
      <alignment horizontal="center" vertical="center" wrapText="1"/>
    </xf>
    <xf numFmtId="170" fontId="4" fillId="0" borderId="1" xfId="0" applyNumberFormat="1" applyFont="1" applyBorder="1" applyAlignment="1">
      <alignment horizontal="center" vertical="center" wrapText="1"/>
    </xf>
    <xf numFmtId="171" fontId="4" fillId="0" borderId="1" xfId="0" applyNumberFormat="1" applyFont="1" applyBorder="1" applyAlignment="1">
      <alignment horizontal="center" vertical="center" wrapText="1"/>
    </xf>
    <xf numFmtId="167" fontId="4" fillId="0" borderId="1" xfId="0" applyNumberFormat="1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165" fontId="4" fillId="0" borderId="1" xfId="0" applyNumberFormat="1" applyFont="1" applyBorder="1" applyAlignment="1" applyProtection="1">
      <alignment horizontal="center" vertical="center" wrapText="1"/>
    </xf>
    <xf numFmtId="172" fontId="4" fillId="0" borderId="1" xfId="0" applyNumberFormat="1" applyFont="1" applyBorder="1" applyAlignment="1" applyProtection="1">
      <alignment horizontal="center" vertical="center" wrapText="1"/>
    </xf>
    <xf numFmtId="1" fontId="4" fillId="0" borderId="1" xfId="0" applyNumberFormat="1" applyFont="1" applyBorder="1" applyAlignment="1" applyProtection="1">
      <alignment horizontal="center" vertical="center" wrapText="1"/>
    </xf>
    <xf numFmtId="173" fontId="4" fillId="0" borderId="1" xfId="0" applyNumberFormat="1" applyFont="1" applyBorder="1" applyAlignment="1" applyProtection="1">
      <alignment horizontal="center" vertical="center" wrapText="1"/>
    </xf>
    <xf numFmtId="174" fontId="4" fillId="0" borderId="1" xfId="0" applyNumberFormat="1" applyFont="1" applyBorder="1" applyAlignment="1" applyProtection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4" xfId="0" applyBorder="1"/>
    <xf numFmtId="0" fontId="3" fillId="2" borderId="8" xfId="0" applyFont="1" applyFill="1" applyBorder="1"/>
    <xf numFmtId="0" fontId="0" fillId="0" borderId="13" xfId="0" applyBorder="1"/>
    <xf numFmtId="0" fontId="0" fillId="0" borderId="14" xfId="0" applyBorder="1"/>
    <xf numFmtId="0" fontId="0" fillId="4" borderId="8" xfId="0" applyFill="1" applyBorder="1" applyAlignment="1">
      <alignment horizontal="center"/>
    </xf>
    <xf numFmtId="0" fontId="11" fillId="15" borderId="7" xfId="0" applyFont="1" applyFill="1" applyBorder="1"/>
    <xf numFmtId="165" fontId="11" fillId="15" borderId="13" xfId="0" applyNumberFormat="1" applyFont="1" applyFill="1" applyBorder="1"/>
    <xf numFmtId="0" fontId="11" fillId="15" borderId="7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1" fillId="15" borderId="13" xfId="0" applyNumberFormat="1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16" borderId="0" xfId="0" applyFill="1"/>
    <xf numFmtId="0" fontId="0" fillId="3" borderId="0" xfId="0" applyFill="1" applyAlignment="1">
      <alignment horizontal="center" vertical="center"/>
    </xf>
    <xf numFmtId="0" fontId="0" fillId="16" borderId="0" xfId="0" applyFill="1" applyAlignment="1">
      <alignment horizontal="center"/>
    </xf>
    <xf numFmtId="0" fontId="0" fillId="17" borderId="0" xfId="0" applyFill="1" applyAlignment="1">
      <alignment horizontal="center" vertical="center"/>
    </xf>
    <xf numFmtId="0" fontId="0" fillId="3" borderId="18" xfId="0" applyFill="1" applyBorder="1"/>
    <xf numFmtId="0" fontId="0" fillId="3" borderId="19" xfId="0" applyFill="1" applyBorder="1"/>
    <xf numFmtId="0" fontId="0" fillId="3" borderId="20" xfId="0" applyFill="1" applyBorder="1"/>
    <xf numFmtId="0" fontId="0" fillId="3" borderId="21" xfId="0" applyFill="1" applyBorder="1"/>
    <xf numFmtId="0" fontId="0" fillId="3" borderId="0" xfId="0" applyFill="1" applyBorder="1"/>
    <xf numFmtId="0" fontId="0" fillId="3" borderId="22" xfId="0" applyFill="1" applyBorder="1"/>
    <xf numFmtId="0" fontId="0" fillId="3" borderId="23" xfId="0" applyFill="1" applyBorder="1"/>
    <xf numFmtId="0" fontId="0" fillId="3" borderId="24" xfId="0" applyFill="1" applyBorder="1"/>
    <xf numFmtId="0" fontId="0" fillId="3" borderId="25" xfId="0" applyFill="1" applyBorder="1"/>
    <xf numFmtId="0" fontId="0" fillId="0" borderId="0" xfId="0" applyAlignment="1">
      <alignment horizontal="center"/>
    </xf>
    <xf numFmtId="0" fontId="2" fillId="9" borderId="0" xfId="0" applyFont="1" applyFill="1" applyAlignment="1">
      <alignment horizontal="center" vertical="center"/>
    </xf>
    <xf numFmtId="9" fontId="0" fillId="4" borderId="0" xfId="2" applyFont="1" applyFill="1"/>
    <xf numFmtId="0" fontId="0" fillId="0" borderId="12" xfId="0" applyBorder="1" applyAlignment="1">
      <alignment wrapText="1"/>
    </xf>
    <xf numFmtId="0" fontId="19" fillId="0" borderId="0" xfId="0" applyFont="1" applyAlignment="1">
      <alignment vertical="center"/>
    </xf>
    <xf numFmtId="0" fontId="12" fillId="13" borderId="0" xfId="0" applyFont="1" applyFill="1" applyBorder="1" applyAlignment="1">
      <alignment horizontal="left" vertical="center"/>
    </xf>
    <xf numFmtId="0" fontId="0" fillId="18" borderId="0" xfId="0" applyFill="1"/>
    <xf numFmtId="0" fontId="4" fillId="0" borderId="26" xfId="0" applyFont="1" applyBorder="1" applyAlignment="1">
      <alignment horizontal="center" vertical="center" wrapText="1"/>
    </xf>
    <xf numFmtId="175" fontId="22" fillId="0" borderId="0" xfId="0" applyNumberFormat="1" applyFont="1"/>
    <xf numFmtId="0" fontId="4" fillId="0" borderId="1" xfId="0" applyFont="1" applyFill="1" applyBorder="1" applyAlignment="1">
      <alignment horizontal="center" vertical="center" wrapText="1"/>
    </xf>
    <xf numFmtId="170" fontId="4" fillId="0" borderId="1" xfId="0" applyNumberFormat="1" applyFont="1" applyFill="1" applyBorder="1" applyAlignment="1">
      <alignment horizontal="center" vertical="center" wrapText="1"/>
    </xf>
    <xf numFmtId="171" fontId="4" fillId="0" borderId="1" xfId="0" applyNumberFormat="1" applyFont="1" applyFill="1" applyBorder="1" applyAlignment="1">
      <alignment horizontal="center" vertical="center" wrapText="1"/>
    </xf>
    <xf numFmtId="167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65" fontId="4" fillId="0" borderId="1" xfId="0" applyNumberFormat="1" applyFont="1" applyFill="1" applyBorder="1" applyAlignment="1" applyProtection="1">
      <alignment horizontal="center" vertical="center" wrapText="1"/>
    </xf>
    <xf numFmtId="1" fontId="4" fillId="0" borderId="1" xfId="0" applyNumberFormat="1" applyFont="1" applyFill="1" applyBorder="1" applyAlignment="1" applyProtection="1">
      <alignment horizontal="center" vertical="center" wrapText="1"/>
    </xf>
    <xf numFmtId="173" fontId="14" fillId="0" borderId="1" xfId="0" applyNumberFormat="1" applyFont="1" applyFill="1" applyBorder="1" applyAlignment="1" applyProtection="1">
      <alignment horizontal="center" vertical="center" wrapText="1"/>
    </xf>
    <xf numFmtId="174" fontId="14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0" fillId="0" borderId="0" xfId="0" applyFont="1"/>
    <xf numFmtId="0" fontId="25" fillId="0" borderId="1" xfId="0" applyFont="1" applyBorder="1" applyAlignment="1">
      <alignment horizontal="center" vertical="center"/>
    </xf>
    <xf numFmtId="0" fontId="7" fillId="8" borderId="1" xfId="0" applyFont="1" applyFill="1" applyBorder="1" applyAlignment="1">
      <alignment horizontal="center" wrapText="1"/>
    </xf>
    <xf numFmtId="0" fontId="7" fillId="10" borderId="1" xfId="0" applyFont="1" applyFill="1" applyBorder="1" applyAlignment="1">
      <alignment horizontal="center" wrapText="1"/>
    </xf>
    <xf numFmtId="176" fontId="0" fillId="0" borderId="0" xfId="0" applyNumberFormat="1"/>
    <xf numFmtId="17" fontId="0" fillId="0" borderId="0" xfId="0" applyNumberFormat="1"/>
    <xf numFmtId="0" fontId="28" fillId="3" borderId="1" xfId="0" applyFont="1" applyFill="1" applyBorder="1" applyAlignment="1">
      <alignment horizontal="center" vertical="center" wrapText="1"/>
    </xf>
    <xf numFmtId="171" fontId="28" fillId="3" borderId="1" xfId="0" applyNumberFormat="1" applyFont="1" applyFill="1" applyBorder="1" applyAlignment="1">
      <alignment horizontal="center" vertical="center" wrapText="1"/>
    </xf>
    <xf numFmtId="0" fontId="28" fillId="3" borderId="1" xfId="0" applyFont="1" applyFill="1" applyBorder="1" applyAlignment="1" applyProtection="1">
      <alignment horizontal="center" vertical="center" wrapText="1"/>
    </xf>
    <xf numFmtId="165" fontId="28" fillId="3" borderId="1" xfId="0" applyNumberFormat="1" applyFont="1" applyFill="1" applyBorder="1" applyAlignment="1" applyProtection="1">
      <alignment horizontal="center" vertical="center" wrapText="1"/>
    </xf>
    <xf numFmtId="170" fontId="30" fillId="3" borderId="1" xfId="0" applyNumberFormat="1" applyFont="1" applyFill="1" applyBorder="1" applyAlignment="1">
      <alignment horizontal="center" vertical="center" wrapText="1"/>
    </xf>
    <xf numFmtId="171" fontId="29" fillId="3" borderId="1" xfId="0" applyNumberFormat="1" applyFont="1" applyFill="1" applyBorder="1" applyAlignment="1">
      <alignment horizontal="center" vertical="center" wrapText="1"/>
    </xf>
    <xf numFmtId="167" fontId="29" fillId="3" borderId="1" xfId="0" applyNumberFormat="1" applyFont="1" applyFill="1" applyBorder="1" applyAlignment="1" applyProtection="1">
      <alignment horizontal="center" vertical="center" wrapText="1"/>
    </xf>
    <xf numFmtId="165" fontId="29" fillId="3" borderId="1" xfId="0" applyNumberFormat="1" applyFont="1" applyFill="1" applyBorder="1" applyAlignment="1" applyProtection="1">
      <alignment horizontal="center" vertical="center" wrapText="1"/>
    </xf>
    <xf numFmtId="1" fontId="29" fillId="3" borderId="1" xfId="0" applyNumberFormat="1" applyFont="1" applyFill="1" applyBorder="1" applyAlignment="1" applyProtection="1">
      <alignment horizontal="center" vertical="center" wrapText="1"/>
    </xf>
    <xf numFmtId="1" fontId="30" fillId="3" borderId="1" xfId="0" applyNumberFormat="1" applyFont="1" applyFill="1" applyBorder="1" applyAlignment="1" applyProtection="1">
      <alignment horizontal="center" vertical="center" wrapText="1"/>
    </xf>
    <xf numFmtId="173" fontId="29" fillId="3" borderId="1" xfId="0" applyNumberFormat="1" applyFont="1" applyFill="1" applyBorder="1" applyAlignment="1" applyProtection="1">
      <alignment horizontal="center" vertical="center" wrapText="1"/>
    </xf>
    <xf numFmtId="174" fontId="29" fillId="3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/>
    <xf numFmtId="0" fontId="23" fillId="0" borderId="0" xfId="0" applyFont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175" fontId="24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6" fillId="19" borderId="18" xfId="0" applyFont="1" applyFill="1" applyBorder="1" applyAlignment="1">
      <alignment horizontal="center" vertical="center" wrapText="1"/>
    </xf>
    <xf numFmtId="0" fontId="26" fillId="19" borderId="19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17" fillId="0" borderId="15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7" fillId="0" borderId="17" xfId="0" applyFont="1" applyBorder="1" applyAlignment="1">
      <alignment horizontal="center"/>
    </xf>
    <xf numFmtId="0" fontId="18" fillId="0" borderId="15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17" xfId="0" applyFont="1" applyBorder="1" applyAlignment="1">
      <alignment horizontal="center"/>
    </xf>
    <xf numFmtId="0" fontId="19" fillId="0" borderId="0" xfId="0" applyFont="1" applyAlignment="1">
      <alignment horizontal="center" vertical="center"/>
    </xf>
  </cellXfs>
  <cellStyles count="3">
    <cellStyle name="Normal" xfId="0" builtinId="0"/>
    <cellStyle name="Normal 2" xfId="1"/>
    <cellStyle name="Percent" xfId="2" builtinId="5"/>
  </cellStyles>
  <dxfs count="1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microsoft.com/office/2006/relationships/vbaProject" Target="vbaProject.bin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Indirect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5"/>
          <c:order val="1"/>
          <c:tx>
            <c:strRef>
              <c:f>Sheet2!$J$117</c:f>
              <c:strCache>
                <c:ptCount val="1"/>
                <c:pt idx="0">
                  <c:v>Qty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Sheet2!$C$118:$C$125</c:f>
              <c:numCache>
                <c:formatCode>General</c:formatCode>
                <c:ptCount val="8"/>
                <c:pt idx="0">
                  <c:v>50</c:v>
                </c:pt>
                <c:pt idx="1">
                  <c:v>150</c:v>
                </c:pt>
                <c:pt idx="2">
                  <c:v>250</c:v>
                </c:pt>
                <c:pt idx="3">
                  <c:v>350</c:v>
                </c:pt>
                <c:pt idx="4">
                  <c:v>450</c:v>
                </c:pt>
                <c:pt idx="5">
                  <c:v>550</c:v>
                </c:pt>
                <c:pt idx="6">
                  <c:v>650</c:v>
                </c:pt>
                <c:pt idx="7">
                  <c:v>750</c:v>
                </c:pt>
              </c:numCache>
            </c:numRef>
          </c:cat>
          <c:val>
            <c:numRef>
              <c:f>Sheet2!$J$118:$J$125</c:f>
              <c:numCache>
                <c:formatCode>General</c:formatCode>
                <c:ptCount val="8"/>
                <c:pt idx="0">
                  <c:v>4</c:v>
                </c:pt>
                <c:pt idx="1">
                  <c:v>4</c:v>
                </c:pt>
                <c:pt idx="2">
                  <c:v>6</c:v>
                </c:pt>
                <c:pt idx="3">
                  <c:v>6</c:v>
                </c:pt>
                <c:pt idx="4">
                  <c:v>12</c:v>
                </c:pt>
                <c:pt idx="5">
                  <c:v>20</c:v>
                </c:pt>
                <c:pt idx="6">
                  <c:v>20</c:v>
                </c:pt>
                <c:pt idx="7">
                  <c:v>35</c:v>
                </c:pt>
              </c:numCache>
            </c:numRef>
          </c:val>
          <c:smooth val="0"/>
        </c:ser>
        <c:ser>
          <c:idx val="1"/>
          <c:order val="0"/>
          <c:tx>
            <c:strRef>
              <c:f>Sheet2!$J$117</c:f>
              <c:strCache>
                <c:ptCount val="1"/>
                <c:pt idx="0">
                  <c:v>Qty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Sheet2!$C$118:$C$125</c:f>
              <c:numCache>
                <c:formatCode>General</c:formatCode>
                <c:ptCount val="8"/>
                <c:pt idx="0">
                  <c:v>50</c:v>
                </c:pt>
                <c:pt idx="1">
                  <c:v>150</c:v>
                </c:pt>
                <c:pt idx="2">
                  <c:v>250</c:v>
                </c:pt>
                <c:pt idx="3">
                  <c:v>350</c:v>
                </c:pt>
                <c:pt idx="4">
                  <c:v>450</c:v>
                </c:pt>
                <c:pt idx="5">
                  <c:v>550</c:v>
                </c:pt>
                <c:pt idx="6">
                  <c:v>650</c:v>
                </c:pt>
                <c:pt idx="7">
                  <c:v>750</c:v>
                </c:pt>
              </c:numCache>
            </c:numRef>
          </c:cat>
          <c:val>
            <c:numRef>
              <c:f>Sheet2!$E$118:$E$125</c:f>
              <c:numCache>
                <c:formatCode>General</c:formatCode>
                <c:ptCount val="8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6</c:v>
                </c:pt>
                <c:pt idx="6">
                  <c:v>9</c:v>
                </c:pt>
                <c:pt idx="7">
                  <c:v>20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97352624"/>
        <c:axId val="697353016"/>
      </c:lineChart>
      <c:catAx>
        <c:axId val="697352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697353016"/>
        <c:crosses val="autoZero"/>
        <c:auto val="1"/>
        <c:lblAlgn val="ctr"/>
        <c:lblOffset val="100"/>
        <c:noMultiLvlLbl val="0"/>
      </c:catAx>
      <c:valAx>
        <c:axId val="69735301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crossAx val="6973526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trlProps/ctrlProp1.xml><?xml version="1.0" encoding="utf-8"?>
<formControlPr xmlns="http://schemas.microsoft.com/office/spreadsheetml/2009/9/main" objectType="Spin" dx="16" fmlaLink="#REF!" max="4" min="1" page="10" val="0"/>
</file>

<file path=xl/ctrlProps/ctrlProp2.xml><?xml version="1.0" encoding="utf-8"?>
<formControlPr xmlns="http://schemas.microsoft.com/office/spreadsheetml/2009/9/main" objectType="Spin" dx="16" fmlaLink="#REF!" max="2" min="1" page="10" val="0"/>
</file>

<file path=xl/ctrlProps/ctrlProp3.xml><?xml version="1.0" encoding="utf-8"?>
<formControlPr xmlns="http://schemas.microsoft.com/office/spreadsheetml/2009/9/main" objectType="Spin" dx="16" inc="50" max="800" min="50" page="10" val="350"/>
</file>

<file path=xl/ctrlProps/ctrlProp4.xml><?xml version="1.0" encoding="utf-8"?>
<formControlPr xmlns="http://schemas.microsoft.com/office/spreadsheetml/2009/9/main" objectType="Spin" dx="16" fmlaLink="$A$16" max="50" min="8" page="10" val="41"/>
</file>

<file path=xl/ctrlProps/ctrlProp5.xml><?xml version="1.0" encoding="utf-8"?>
<formControlPr xmlns="http://schemas.microsoft.com/office/spreadsheetml/2009/9/main" objectType="Spin" dx="16" fmlaLink="$E$16" max="30" min="4" page="10" val="21"/>
</file>

<file path=xl/ctrlProps/ctrlProp6.xml><?xml version="1.0" encoding="utf-8"?>
<formControlPr xmlns="http://schemas.microsoft.com/office/spreadsheetml/2009/9/main" objectType="Spin" dx="16" fmlaLink="$D$4" max="15" min="2" page="10" val="2"/>
</file>

<file path=xl/ctrlProps/ctrlProp7.xml><?xml version="1.0" encoding="utf-8"?>
<formControlPr xmlns="http://schemas.microsoft.com/office/spreadsheetml/2009/9/main" objectType="Spin" dx="16" fmlaLink="$D$2" max="10" min="2" page="10" val="2"/>
</file>

<file path=xl/ctrlProps/ctrlProp8.xml><?xml version="1.0" encoding="utf-8"?>
<formControlPr xmlns="http://schemas.microsoft.com/office/spreadsheetml/2009/9/main" objectType="Spin" dx="16" fmlaLink="$G$2" inc="100" max="800" min="50" page="10" val="150"/>
</file>

<file path=xl/ctrlProps/ctrlProp9.xml><?xml version="1.0" encoding="utf-8"?>
<formControlPr xmlns="http://schemas.microsoft.com/office/spreadsheetml/2009/9/main" objectType="Spin" dx="16" fmlaLink="$E$2" max="2" min="1" page="10"/>
</file>

<file path=xl/ctrlProps/ctrlProp10.xml><?xml version="1.0" encoding="utf-8"?>
<formControlPr xmlns="http://schemas.microsoft.com/office/spreadsheetml/2009/9/main" objectType="Spin" dx="16" fmlaLink="$E$2" max="2" min="1" page="10"/>
</file>

<file path=xl/ctrlProps/ctrlProp11.xml><?xml version="1.0" encoding="utf-8"?>
<formControlPr xmlns="http://schemas.microsoft.com/office/spreadsheetml/2009/9/main" objectType="Spin" dx="16" fmlaLink="$B$2" max="2" min="1" page="10" val="2"/>
</file>

<file path=xl/ctrlProps/ctrlProp12.xml><?xml version="1.0" encoding="utf-8"?>
<formControlPr xmlns="http://schemas.microsoft.com/office/spreadsheetml/2009/9/main" objectType="Spin" dx="16" fmlaLink="$E$4" max="2" min="1" page="10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gif"/><Relationship Id="rId7" Type="http://schemas.openxmlformats.org/officeDocument/2006/relationships/image" Target="../media/image12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11.png"/><Relationship Id="rId5" Type="http://schemas.openxmlformats.org/officeDocument/2006/relationships/image" Target="../media/image4.png"/><Relationship Id="rId4" Type="http://schemas.openxmlformats.org/officeDocument/2006/relationships/image" Target="../media/image10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66675</xdr:rowOff>
    </xdr:from>
    <xdr:to>
      <xdr:col>1</xdr:col>
      <xdr:colOff>1800746</xdr:colOff>
      <xdr:row>2</xdr:row>
      <xdr:rowOff>178594</xdr:rowOff>
    </xdr:to>
    <xdr:pic>
      <xdr:nvPicPr>
        <xdr:cNvPr id="2" name="Picture 1" descr="gent_by_honeywell_bw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66675"/>
          <a:ext cx="2368277" cy="766763"/>
        </a:xfrm>
        <a:prstGeom prst="rect">
          <a:avLst/>
        </a:prstGeom>
      </xdr:spPr>
    </xdr:pic>
    <xdr:clientData/>
  </xdr:twoCellAnchor>
  <xdr:twoCellAnchor editAs="oneCell">
    <xdr:from>
      <xdr:col>7</xdr:col>
      <xdr:colOff>366805</xdr:colOff>
      <xdr:row>3</xdr:row>
      <xdr:rowOff>60790</xdr:rowOff>
    </xdr:from>
    <xdr:to>
      <xdr:col>7</xdr:col>
      <xdr:colOff>1427974</xdr:colOff>
      <xdr:row>4</xdr:row>
      <xdr:rowOff>599069</xdr:rowOff>
    </xdr:to>
    <xdr:pic>
      <xdr:nvPicPr>
        <xdr:cNvPr id="3" name="Picture 2" descr="S-QUAD_0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106192" y="905460"/>
          <a:ext cx="1061169" cy="951628"/>
        </a:xfrm>
        <a:prstGeom prst="rect">
          <a:avLst/>
        </a:prstGeom>
      </xdr:spPr>
    </xdr:pic>
    <xdr:clientData/>
  </xdr:twoCellAnchor>
  <xdr:twoCellAnchor editAs="oneCell">
    <xdr:from>
      <xdr:col>9</xdr:col>
      <xdr:colOff>702388</xdr:colOff>
      <xdr:row>4</xdr:row>
      <xdr:rowOff>378173</xdr:rowOff>
    </xdr:from>
    <xdr:to>
      <xdr:col>10</xdr:col>
      <xdr:colOff>130138</xdr:colOff>
      <xdr:row>5</xdr:row>
      <xdr:rowOff>120453</xdr:rowOff>
    </xdr:to>
    <xdr:pic macro="[0]!delete_rows">
      <xdr:nvPicPr>
        <xdr:cNvPr id="4" name="Picture 3" descr="https://encrypted-tbn3.gstatic.com/images?q=tbn:ANd9GcS6Re0HuqperEYzmFA_5a92vQu2W1yuDoUgkyjtv6KNMHlow03YVBd8A_k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1568664" y="1583377"/>
          <a:ext cx="594077" cy="597587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584223</xdr:colOff>
      <xdr:row>4</xdr:row>
      <xdr:rowOff>161924</xdr:rowOff>
    </xdr:from>
    <xdr:to>
      <xdr:col>13</xdr:col>
      <xdr:colOff>163286</xdr:colOff>
      <xdr:row>6</xdr:row>
      <xdr:rowOff>57150</xdr:rowOff>
    </xdr:to>
    <xdr:pic macro="[0]!Picture3_Click"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376423" y="1419224"/>
          <a:ext cx="1274513" cy="1133476"/>
        </a:xfrm>
        <a:prstGeom prst="rect">
          <a:avLst/>
        </a:prstGeom>
      </xdr:spPr>
    </xdr:pic>
    <xdr:clientData/>
  </xdr:twoCellAnchor>
  <xdr:twoCellAnchor editAs="oneCell">
    <xdr:from>
      <xdr:col>5</xdr:col>
      <xdr:colOff>143773</xdr:colOff>
      <xdr:row>3</xdr:row>
      <xdr:rowOff>161746</xdr:rowOff>
    </xdr:from>
    <xdr:to>
      <xdr:col>6</xdr:col>
      <xdr:colOff>83368</xdr:colOff>
      <xdr:row>4</xdr:row>
      <xdr:rowOff>456490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3962" y="1006416"/>
          <a:ext cx="784264" cy="7080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912812</xdr:colOff>
      <xdr:row>4</xdr:row>
      <xdr:rowOff>396874</xdr:rowOff>
    </xdr:from>
    <xdr:to>
      <xdr:col>14</xdr:col>
      <xdr:colOff>581488</xdr:colOff>
      <xdr:row>5</xdr:row>
      <xdr:rowOff>158750</xdr:rowOff>
    </xdr:to>
    <xdr:pic macro="[0]!Copy_List">
      <xdr:nvPicPr>
        <xdr:cNvPr id="7" name="Picture 5" descr="https://encrypted-tbn3.gstatic.com/images?q=tbn:ANd9GcSMrbOcugEzfCXvl3bsbX78O_QzcK1vXv6Vtj9GRW5Hftz6DBx7_rhoJ48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6093281" y="1904999"/>
          <a:ext cx="621176" cy="615157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2</xdr:row>
      <xdr:rowOff>180975</xdr:rowOff>
    </xdr:from>
    <xdr:to>
      <xdr:col>3</xdr:col>
      <xdr:colOff>337968</xdr:colOff>
      <xdr:row>5</xdr:row>
      <xdr:rowOff>114300</xdr:rowOff>
    </xdr:to>
    <xdr:pic>
      <xdr:nvPicPr>
        <xdr:cNvPr id="2" name="Picture 1" descr="gent_by_honeywell_bw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0550" y="561975"/>
          <a:ext cx="1576218" cy="504825"/>
        </a:xfrm>
        <a:prstGeom prst="rect">
          <a:avLst/>
        </a:prstGeom>
      </xdr:spPr>
    </xdr:pic>
    <xdr:clientData/>
  </xdr:twoCellAnchor>
  <xdr:twoCellAnchor editAs="oneCell">
    <xdr:from>
      <xdr:col>1</xdr:col>
      <xdr:colOff>594603</xdr:colOff>
      <xdr:row>6</xdr:row>
      <xdr:rowOff>136997</xdr:rowOff>
    </xdr:from>
    <xdr:to>
      <xdr:col>3</xdr:col>
      <xdr:colOff>424996</xdr:colOff>
      <xdr:row>11</xdr:row>
      <xdr:rowOff>89656</xdr:rowOff>
    </xdr:to>
    <xdr:pic>
      <xdr:nvPicPr>
        <xdr:cNvPr id="3" name="Picture 2" descr="S-QUAD_0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02582" y="1292157"/>
          <a:ext cx="1046350" cy="965956"/>
        </a:xfrm>
        <a:prstGeom prst="rect">
          <a:avLst/>
        </a:prstGeom>
      </xdr:spPr>
    </xdr:pic>
    <xdr:clientData/>
  </xdr:twoCellAnchor>
  <xdr:twoCellAnchor>
    <xdr:from>
      <xdr:col>1</xdr:col>
      <xdr:colOff>590549</xdr:colOff>
      <xdr:row>18</xdr:row>
      <xdr:rowOff>19049</xdr:rowOff>
    </xdr:from>
    <xdr:to>
      <xdr:col>6</xdr:col>
      <xdr:colOff>479622</xdr:colOff>
      <xdr:row>30</xdr:row>
      <xdr:rowOff>136350</xdr:rowOff>
    </xdr:to>
    <xdr:grpSp>
      <xdr:nvGrpSpPr>
        <xdr:cNvPr id="32" name="Group 31"/>
        <xdr:cNvGrpSpPr/>
      </xdr:nvGrpSpPr>
      <xdr:grpSpPr>
        <a:xfrm>
          <a:off x="1198528" y="3889847"/>
          <a:ext cx="2928966" cy="3035599"/>
          <a:chOff x="5486400" y="1333500"/>
          <a:chExt cx="4032448" cy="3384376"/>
        </a:xfrm>
      </xdr:grpSpPr>
      <xdr:grpSp>
        <xdr:nvGrpSpPr>
          <xdr:cNvPr id="18" name="Group 17"/>
          <xdr:cNvGrpSpPr/>
        </xdr:nvGrpSpPr>
        <xdr:grpSpPr>
          <a:xfrm>
            <a:off x="5486400" y="1333500"/>
            <a:ext cx="4032448" cy="3384376"/>
            <a:chOff x="755576" y="764704"/>
            <a:chExt cx="5400600" cy="5112568"/>
          </a:xfrm>
        </xdr:grpSpPr>
        <xdr:pic>
          <xdr:nvPicPr>
            <xdr:cNvPr id="27" name="Picture 26" descr="S-Quad VAD curved.gif"/>
            <xdr:cNvPicPr>
              <a:picLocks noChangeAspect="1"/>
            </xdr:cNvPicPr>
          </xdr:nvPicPr>
          <xdr:blipFill>
            <a:blip xmlns:r="http://schemas.openxmlformats.org/officeDocument/2006/relationships" r:embed="rId3" cstate="print"/>
            <a:stretch>
              <a:fillRect/>
            </a:stretch>
          </xdr:blipFill>
          <xdr:spPr>
            <a:xfrm>
              <a:off x="755576" y="886172"/>
              <a:ext cx="5400600" cy="4991100"/>
            </a:xfrm>
            <a:prstGeom prst="rect">
              <a:avLst/>
            </a:prstGeom>
          </xdr:spPr>
        </xdr:pic>
        <xdr:sp macro="" textlink="">
          <xdr:nvSpPr>
            <xdr:cNvPr id="28" name="Oval 27"/>
            <xdr:cNvSpPr/>
          </xdr:nvSpPr>
          <xdr:spPr>
            <a:xfrm>
              <a:off x="755576" y="2924944"/>
              <a:ext cx="5400600" cy="2880320"/>
            </a:xfrm>
            <a:prstGeom prst="ellipse">
              <a:avLst/>
            </a:prstGeom>
            <a:noFill/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GB"/>
            </a:p>
          </xdr:txBody>
        </xdr:sp>
        <xdr:sp macro="" textlink="">
          <xdr:nvSpPr>
            <xdr:cNvPr id="29" name="Oval 28"/>
            <xdr:cNvSpPr/>
          </xdr:nvSpPr>
          <xdr:spPr>
            <a:xfrm>
              <a:off x="755576" y="764704"/>
              <a:ext cx="5400600" cy="543890"/>
            </a:xfrm>
            <a:prstGeom prst="ellipse">
              <a:avLst/>
            </a:prstGeom>
            <a:noFill/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GB"/>
            </a:p>
          </xdr:txBody>
        </xdr:sp>
        <xdr:cxnSp macro="">
          <xdr:nvCxnSpPr>
            <xdr:cNvPr id="30" name="Straight Connector 29"/>
            <xdr:cNvCxnSpPr>
              <a:stCxn id="29" idx="2"/>
            </xdr:cNvCxnSpPr>
          </xdr:nvCxnSpPr>
          <xdr:spPr>
            <a:xfrm>
              <a:off x="755576" y="1036649"/>
              <a:ext cx="0" cy="3328456"/>
            </a:xfrm>
            <a:prstGeom prst="line">
              <a:avLst/>
            </a:prstGeom>
            <a:noFill/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</xdr:cxnSp>
        <xdr:cxnSp macro="">
          <xdr:nvCxnSpPr>
            <xdr:cNvPr id="31" name="Straight Connector 30"/>
            <xdr:cNvCxnSpPr>
              <a:stCxn id="29" idx="6"/>
            </xdr:cNvCxnSpPr>
          </xdr:nvCxnSpPr>
          <xdr:spPr>
            <a:xfrm>
              <a:off x="6156176" y="1036649"/>
              <a:ext cx="0" cy="3328456"/>
            </a:xfrm>
            <a:prstGeom prst="line">
              <a:avLst/>
            </a:prstGeom>
            <a:noFill/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</xdr:cxnSp>
      </xdr:grpSp>
      <xdr:cxnSp macro="">
        <xdr:nvCxnSpPr>
          <xdr:cNvPr id="19" name="Straight Arrow Connector 18"/>
          <xdr:cNvCxnSpPr>
            <a:stCxn id="29" idx="4"/>
          </xdr:cNvCxnSpPr>
        </xdr:nvCxnSpPr>
        <xdr:spPr>
          <a:xfrm flipH="1">
            <a:off x="5918448" y="1693540"/>
            <a:ext cx="1584176" cy="2520280"/>
          </a:xfrm>
          <a:prstGeom prst="straightConnector1">
            <a:avLst/>
          </a:prstGeom>
          <a:ln>
            <a:solidFill>
              <a:srgbClr val="FF0000"/>
            </a:solidFill>
            <a:prstDash val="lgDashDotDot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Straight Arrow Connector 19"/>
          <xdr:cNvCxnSpPr>
            <a:stCxn id="29" idx="4"/>
          </xdr:cNvCxnSpPr>
        </xdr:nvCxnSpPr>
        <xdr:spPr>
          <a:xfrm>
            <a:off x="7502624" y="1693540"/>
            <a:ext cx="1440160" cy="2592288"/>
          </a:xfrm>
          <a:prstGeom prst="straightConnector1">
            <a:avLst/>
          </a:prstGeom>
          <a:ln>
            <a:solidFill>
              <a:srgbClr val="FF0000"/>
            </a:solidFill>
            <a:prstDash val="lgDashDotDot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Straight Arrow Connector 20"/>
          <xdr:cNvCxnSpPr/>
        </xdr:nvCxnSpPr>
        <xdr:spPr>
          <a:xfrm>
            <a:off x="7502624" y="1693540"/>
            <a:ext cx="1944216" cy="792088"/>
          </a:xfrm>
          <a:prstGeom prst="straightConnector1">
            <a:avLst/>
          </a:prstGeom>
          <a:ln>
            <a:solidFill>
              <a:srgbClr val="FF0000"/>
            </a:solidFill>
            <a:prstDash val="lgDashDotDot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" name="Straight Arrow Connector 21"/>
          <xdr:cNvCxnSpPr>
            <a:stCxn id="29" idx="4"/>
          </xdr:cNvCxnSpPr>
        </xdr:nvCxnSpPr>
        <xdr:spPr>
          <a:xfrm>
            <a:off x="7502624" y="1693540"/>
            <a:ext cx="0" cy="1008112"/>
          </a:xfrm>
          <a:prstGeom prst="straightConnector1">
            <a:avLst/>
          </a:prstGeom>
          <a:ln>
            <a:solidFill>
              <a:srgbClr val="FF0000"/>
            </a:solidFill>
            <a:prstDash val="lgDashDotDot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" name="Straight Arrow Connector 22"/>
          <xdr:cNvCxnSpPr>
            <a:stCxn id="29" idx="4"/>
          </xdr:cNvCxnSpPr>
        </xdr:nvCxnSpPr>
        <xdr:spPr>
          <a:xfrm flipH="1">
            <a:off x="5558408" y="1693540"/>
            <a:ext cx="1944216" cy="864096"/>
          </a:xfrm>
          <a:prstGeom prst="straightConnector1">
            <a:avLst/>
          </a:prstGeom>
          <a:ln>
            <a:solidFill>
              <a:srgbClr val="FF0000"/>
            </a:solidFill>
            <a:prstDash val="lgDashDotDot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" name="Straight Arrow Connector 23"/>
          <xdr:cNvCxnSpPr>
            <a:stCxn id="29" idx="4"/>
          </xdr:cNvCxnSpPr>
        </xdr:nvCxnSpPr>
        <xdr:spPr>
          <a:xfrm flipH="1">
            <a:off x="6134472" y="1693540"/>
            <a:ext cx="1368152" cy="1224136"/>
          </a:xfrm>
          <a:prstGeom prst="straightConnector1">
            <a:avLst/>
          </a:prstGeom>
          <a:ln>
            <a:solidFill>
              <a:srgbClr val="FF0000"/>
            </a:solidFill>
            <a:prstDash val="lgDashDotDot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" name="Straight Arrow Connector 24"/>
          <xdr:cNvCxnSpPr>
            <a:stCxn id="29" idx="4"/>
          </xdr:cNvCxnSpPr>
        </xdr:nvCxnSpPr>
        <xdr:spPr>
          <a:xfrm>
            <a:off x="7502624" y="1693540"/>
            <a:ext cx="1368152" cy="1224136"/>
          </a:xfrm>
          <a:prstGeom prst="straightConnector1">
            <a:avLst/>
          </a:prstGeom>
          <a:ln>
            <a:solidFill>
              <a:srgbClr val="FF0000"/>
            </a:solidFill>
            <a:prstDash val="lgDashDotDot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" name="Straight Arrow Connector 25"/>
          <xdr:cNvCxnSpPr/>
        </xdr:nvCxnSpPr>
        <xdr:spPr>
          <a:xfrm>
            <a:off x="7502624" y="1693540"/>
            <a:ext cx="288032" cy="2880320"/>
          </a:xfrm>
          <a:prstGeom prst="straightConnector1">
            <a:avLst/>
          </a:prstGeom>
          <a:ln>
            <a:solidFill>
              <a:srgbClr val="FF0000"/>
            </a:solidFill>
            <a:prstDash val="lgDashDotDot"/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2</xdr:col>
      <xdr:colOff>144135</xdr:colOff>
      <xdr:row>12</xdr:row>
      <xdr:rowOff>239285</xdr:rowOff>
    </xdr:from>
    <xdr:to>
      <xdr:col>3</xdr:col>
      <xdr:colOff>381977</xdr:colOff>
      <xdr:row>16</xdr:row>
      <xdr:rowOff>40532</xdr:rowOff>
    </xdr:to>
    <xdr:pic>
      <xdr:nvPicPr>
        <xdr:cNvPr id="34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0092" y="2650934"/>
          <a:ext cx="845821" cy="7740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586153</xdr:colOff>
      <xdr:row>16</xdr:row>
      <xdr:rowOff>92533</xdr:rowOff>
    </xdr:from>
    <xdr:to>
      <xdr:col>11</xdr:col>
      <xdr:colOff>429120</xdr:colOff>
      <xdr:row>20</xdr:row>
      <xdr:rowOff>130843</xdr:rowOff>
    </xdr:to>
    <xdr:pic macro="[0]!Picture3_Click"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57962" y="3851868"/>
          <a:ext cx="1058924" cy="1011076"/>
        </a:xfrm>
        <a:prstGeom prst="rect">
          <a:avLst/>
        </a:prstGeom>
      </xdr:spPr>
    </xdr:pic>
    <xdr:clientData/>
  </xdr:twoCellAnchor>
  <xdr:twoCellAnchor editAs="oneCell">
    <xdr:from>
      <xdr:col>8</xdr:col>
      <xdr:colOff>127276</xdr:colOff>
      <xdr:row>16</xdr:row>
      <xdr:rowOff>135069</xdr:rowOff>
    </xdr:from>
    <xdr:to>
      <xdr:col>9</xdr:col>
      <xdr:colOff>453521</xdr:colOff>
      <xdr:row>20</xdr:row>
      <xdr:rowOff>94353</xdr:rowOff>
    </xdr:to>
    <xdr:pic macro="[0]!_xlnm.auto_open"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991106" y="3894404"/>
          <a:ext cx="934224" cy="93205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981075</xdr:colOff>
          <xdr:row>19</xdr:row>
          <xdr:rowOff>238125</xdr:rowOff>
        </xdr:from>
        <xdr:to>
          <xdr:col>15</xdr:col>
          <xdr:colOff>2762250</xdr:colOff>
          <xdr:row>25</xdr:row>
          <xdr:rowOff>28575</xdr:rowOff>
        </xdr:to>
        <xdr:sp macro="" textlink="">
          <xdr:nvSpPr>
            <xdr:cNvPr id="8194" name="Object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 fLocksWithSheet="0"/>
      </xdr:twoCellAnchor>
    </mc:Choice>
    <mc:Fallback/>
  </mc:AlternateContent>
  <xdr:twoCellAnchor editAs="oneCell">
    <xdr:from>
      <xdr:col>14</xdr:col>
      <xdr:colOff>70931</xdr:colOff>
      <xdr:row>20</xdr:row>
      <xdr:rowOff>69321</xdr:rowOff>
    </xdr:from>
    <xdr:to>
      <xdr:col>15</xdr:col>
      <xdr:colOff>816110</xdr:colOff>
      <xdr:row>25</xdr:row>
      <xdr:rowOff>80456</xdr:rowOff>
    </xdr:to>
    <xdr:pic macro="[0]!Picture5_Click"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2633" y="4426502"/>
          <a:ext cx="2001668" cy="122709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657225</xdr:colOff>
          <xdr:row>12</xdr:row>
          <xdr:rowOff>47625</xdr:rowOff>
        </xdr:from>
        <xdr:to>
          <xdr:col>15</xdr:col>
          <xdr:colOff>619125</xdr:colOff>
          <xdr:row>19</xdr:row>
          <xdr:rowOff>38100</xdr:rowOff>
        </xdr:to>
        <xdr:sp macro="" textlink="">
          <xdr:nvSpPr>
            <xdr:cNvPr id="8196" name="Object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809625</xdr:colOff>
          <xdr:row>15</xdr:row>
          <xdr:rowOff>57150</xdr:rowOff>
        </xdr:from>
        <xdr:to>
          <xdr:col>21</xdr:col>
          <xdr:colOff>276225</xdr:colOff>
          <xdr:row>16</xdr:row>
          <xdr:rowOff>76200</xdr:rowOff>
        </xdr:to>
        <xdr:sp macro="" textlink="">
          <xdr:nvSpPr>
            <xdr:cNvPr id="1025" name="Spinner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590550</xdr:colOff>
          <xdr:row>15</xdr:row>
          <xdr:rowOff>295275</xdr:rowOff>
        </xdr:from>
        <xdr:to>
          <xdr:col>20</xdr:col>
          <xdr:colOff>285750</xdr:colOff>
          <xdr:row>16</xdr:row>
          <xdr:rowOff>352425</xdr:rowOff>
        </xdr:to>
        <xdr:sp macro="" textlink="">
          <xdr:nvSpPr>
            <xdr:cNvPr id="1026" name="Spinner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933450</xdr:colOff>
          <xdr:row>16</xdr:row>
          <xdr:rowOff>57150</xdr:rowOff>
        </xdr:from>
        <xdr:to>
          <xdr:col>22</xdr:col>
          <xdr:colOff>66675</xdr:colOff>
          <xdr:row>17</xdr:row>
          <xdr:rowOff>95250</xdr:rowOff>
        </xdr:to>
        <xdr:sp macro="" textlink="">
          <xdr:nvSpPr>
            <xdr:cNvPr id="1027" name="Spinner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438150</xdr:colOff>
          <xdr:row>17</xdr:row>
          <xdr:rowOff>133350</xdr:rowOff>
        </xdr:from>
        <xdr:to>
          <xdr:col>20</xdr:col>
          <xdr:colOff>133350</xdr:colOff>
          <xdr:row>18</xdr:row>
          <xdr:rowOff>190500</xdr:rowOff>
        </xdr:to>
        <xdr:sp macro="" textlink="">
          <xdr:nvSpPr>
            <xdr:cNvPr id="1028" name="Spinner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142875</xdr:colOff>
          <xdr:row>16</xdr:row>
          <xdr:rowOff>371475</xdr:rowOff>
        </xdr:from>
        <xdr:to>
          <xdr:col>22</xdr:col>
          <xdr:colOff>447675</xdr:colOff>
          <xdr:row>18</xdr:row>
          <xdr:rowOff>47625</xdr:rowOff>
        </xdr:to>
        <xdr:sp macro="" textlink="">
          <xdr:nvSpPr>
            <xdr:cNvPr id="1029" name="Spinner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447675</xdr:colOff>
      <xdr:row>0</xdr:row>
      <xdr:rowOff>200025</xdr:rowOff>
    </xdr:from>
    <xdr:to>
      <xdr:col>8</xdr:col>
      <xdr:colOff>771525</xdr:colOff>
      <xdr:row>1</xdr:row>
      <xdr:rowOff>95250</xdr:rowOff>
    </xdr:to>
    <xdr:sp macro="[0]!PointStar1_Click" textlink="">
      <xdr:nvSpPr>
        <xdr:cNvPr id="2" name="5-Point Star 1"/>
        <xdr:cNvSpPr/>
      </xdr:nvSpPr>
      <xdr:spPr>
        <a:xfrm>
          <a:off x="9344025" y="200025"/>
          <a:ext cx="323850" cy="295275"/>
        </a:xfrm>
        <a:prstGeom prst="star5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GB" sz="1100"/>
        </a:p>
      </xdr:txBody>
    </xdr:sp>
    <xdr:clientData/>
  </xdr:twoCellAnchor>
  <xdr:twoCellAnchor>
    <xdr:from>
      <xdr:col>9</xdr:col>
      <xdr:colOff>0</xdr:colOff>
      <xdr:row>135</xdr:row>
      <xdr:rowOff>0</xdr:rowOff>
    </xdr:from>
    <xdr:to>
      <xdr:col>13</xdr:col>
      <xdr:colOff>361950</xdr:colOff>
      <xdr:row>149</xdr:row>
      <xdr:rowOff>76200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161925</xdr:colOff>
          <xdr:row>96</xdr:row>
          <xdr:rowOff>38100</xdr:rowOff>
        </xdr:from>
        <xdr:to>
          <xdr:col>8</xdr:col>
          <xdr:colOff>476250</xdr:colOff>
          <xdr:row>98</xdr:row>
          <xdr:rowOff>95250</xdr:rowOff>
        </xdr:to>
        <xdr:sp macro="" textlink="">
          <xdr:nvSpPr>
            <xdr:cNvPr id="2052" name="Spinner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</xdr:colOff>
          <xdr:row>96</xdr:row>
          <xdr:rowOff>19050</xdr:rowOff>
        </xdr:from>
        <xdr:to>
          <xdr:col>2</xdr:col>
          <xdr:colOff>390525</xdr:colOff>
          <xdr:row>98</xdr:row>
          <xdr:rowOff>76200</xdr:rowOff>
        </xdr:to>
        <xdr:sp macro="" textlink="">
          <xdr:nvSpPr>
            <xdr:cNvPr id="2053" name="Spinner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561975</xdr:colOff>
          <xdr:row>99</xdr:row>
          <xdr:rowOff>57150</xdr:rowOff>
        </xdr:from>
        <xdr:to>
          <xdr:col>4</xdr:col>
          <xdr:colOff>171450</xdr:colOff>
          <xdr:row>101</xdr:row>
          <xdr:rowOff>114300</xdr:rowOff>
        </xdr:to>
        <xdr:sp macro="" textlink="">
          <xdr:nvSpPr>
            <xdr:cNvPr id="2055" name="Spinner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304800</xdr:colOff>
          <xdr:row>6</xdr:row>
          <xdr:rowOff>171450</xdr:rowOff>
        </xdr:from>
        <xdr:to>
          <xdr:col>5</xdr:col>
          <xdr:colOff>9525</xdr:colOff>
          <xdr:row>9</xdr:row>
          <xdr:rowOff>28575</xdr:rowOff>
        </xdr:to>
        <xdr:sp macro="" textlink="">
          <xdr:nvSpPr>
            <xdr:cNvPr id="2057" name="Spinner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685800</xdr:colOff>
          <xdr:row>101</xdr:row>
          <xdr:rowOff>28575</xdr:rowOff>
        </xdr:from>
        <xdr:to>
          <xdr:col>2</xdr:col>
          <xdr:colOff>1000125</xdr:colOff>
          <xdr:row>103</xdr:row>
          <xdr:rowOff>85725</xdr:rowOff>
        </xdr:to>
        <xdr:sp macro="" textlink="">
          <xdr:nvSpPr>
            <xdr:cNvPr id="2058" name="Spinner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1066800</xdr:colOff>
          <xdr:row>101</xdr:row>
          <xdr:rowOff>76200</xdr:rowOff>
        </xdr:from>
        <xdr:to>
          <xdr:col>6</xdr:col>
          <xdr:colOff>1381125</xdr:colOff>
          <xdr:row>103</xdr:row>
          <xdr:rowOff>133350</xdr:rowOff>
        </xdr:to>
        <xdr:sp macro="" textlink="">
          <xdr:nvSpPr>
            <xdr:cNvPr id="2059" name="Spinner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323850</xdr:colOff>
          <xdr:row>6</xdr:row>
          <xdr:rowOff>133350</xdr:rowOff>
        </xdr:from>
        <xdr:to>
          <xdr:col>6</xdr:col>
          <xdr:colOff>28575</xdr:colOff>
          <xdr:row>8</xdr:row>
          <xdr:rowOff>190500</xdr:rowOff>
        </xdr:to>
        <xdr:sp macro="" textlink="">
          <xdr:nvSpPr>
            <xdr:cNvPr id="2060" name="Spinner 12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66675</xdr:rowOff>
    </xdr:from>
    <xdr:to>
      <xdr:col>2</xdr:col>
      <xdr:colOff>14877</xdr:colOff>
      <xdr:row>1</xdr:row>
      <xdr:rowOff>381000</xdr:rowOff>
    </xdr:to>
    <xdr:pic>
      <xdr:nvPicPr>
        <xdr:cNvPr id="2" name="Picture 1" descr="gent_by_honeywell_bw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66675"/>
          <a:ext cx="1586502" cy="504825"/>
        </a:xfrm>
        <a:prstGeom prst="rect">
          <a:avLst/>
        </a:prstGeom>
      </xdr:spPr>
    </xdr:pic>
    <xdr:clientData/>
  </xdr:twoCellAnchor>
  <xdr:twoCellAnchor editAs="oneCell">
    <xdr:from>
      <xdr:col>14</xdr:col>
      <xdr:colOff>800100</xdr:colOff>
      <xdr:row>0</xdr:row>
      <xdr:rowOff>47625</xdr:rowOff>
    </xdr:from>
    <xdr:to>
      <xdr:col>15</xdr:col>
      <xdr:colOff>135194</xdr:colOff>
      <xdr:row>3</xdr:row>
      <xdr:rowOff>213313</xdr:rowOff>
    </xdr:to>
    <xdr:pic>
      <xdr:nvPicPr>
        <xdr:cNvPr id="3" name="Picture 2" descr="S-QUAD_0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810750" y="47625"/>
          <a:ext cx="1049593" cy="9467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300558\Dropbox\VAD%20design%20aid%20S-Quad%20-%20Final%20with%20summary(1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300558\Documents\Part%2023\VAD%20Design%20Tool\VAD%20design%20aid%20S-Quad%20-%20July2014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VAD%20Commissioning%20Tool_in%20tegrated%20with%20Wall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300558\AppData\Local\Microsoft\Windows\Temporary%20Internet%20Files\Content.Outlook\BLY08C9I\Part%20number%20proposal%20for%20part%2023%20devices%20(S3%20and%20S4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300558\Documents\EN54%20pt%2023%20Lis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table "/>
      <sheetName val="Workings"/>
      <sheetName val="S-Quad VAD"/>
      <sheetName val="Sheet3"/>
      <sheetName val="Correction Tables"/>
      <sheetName val="Detail"/>
      <sheetName val="Design Summary"/>
      <sheetName val="Loop Load"/>
      <sheetName val="Table 1"/>
      <sheetName val="Summary"/>
      <sheetName val="Sheet1"/>
      <sheetName val="Sheet2"/>
      <sheetName val="Print"/>
      <sheetName val="Background"/>
    </sheetNames>
    <sheetDataSet>
      <sheetData sheetId="0"/>
      <sheetData sheetId="1">
        <row r="69">
          <cell r="S69" t="str">
            <v>Red / High Output</v>
          </cell>
        </row>
        <row r="70">
          <cell r="S70" t="str">
            <v>Red / Med Output</v>
          </cell>
        </row>
        <row r="71">
          <cell r="S71" t="str">
            <v>Red / Low Output</v>
          </cell>
        </row>
        <row r="72">
          <cell r="S72" t="str">
            <v>White / High Output</v>
          </cell>
        </row>
        <row r="73">
          <cell r="S73" t="str">
            <v>White / Med Output</v>
          </cell>
        </row>
        <row r="74">
          <cell r="S74" t="str">
            <v>White / Low Output</v>
          </cell>
        </row>
        <row r="75">
          <cell r="S75" t="str">
            <v>S-Cubed</v>
          </cell>
        </row>
        <row r="76">
          <cell r="S76" t="str">
            <v>Sensor Sounder</v>
          </cell>
        </row>
      </sheetData>
      <sheetData sheetId="2"/>
      <sheetData sheetId="3"/>
      <sheetData sheetId="4"/>
      <sheetData sheetId="5"/>
      <sheetData sheetId="6">
        <row r="25">
          <cell r="M25" t="str">
            <v>White</v>
          </cell>
        </row>
        <row r="26">
          <cell r="M26" t="str">
            <v>Direct</v>
          </cell>
        </row>
      </sheetData>
      <sheetData sheetId="7">
        <row r="4">
          <cell r="D4">
            <v>10</v>
          </cell>
        </row>
        <row r="5">
          <cell r="D5">
            <v>10</v>
          </cell>
        </row>
        <row r="6">
          <cell r="D6">
            <v>100</v>
          </cell>
        </row>
        <row r="7">
          <cell r="D7">
            <v>2.5</v>
          </cell>
        </row>
        <row r="11">
          <cell r="D11" t="str">
            <v>White / Low Output</v>
          </cell>
        </row>
      </sheetData>
      <sheetData sheetId="8">
        <row r="4">
          <cell r="B4">
            <v>0</v>
          </cell>
        </row>
        <row r="7">
          <cell r="B7">
            <v>0</v>
          </cell>
        </row>
        <row r="8">
          <cell r="B8">
            <v>0</v>
          </cell>
        </row>
      </sheetData>
      <sheetData sheetId="9">
        <row r="25">
          <cell r="A25">
            <v>1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table "/>
      <sheetName val="Workings"/>
      <sheetName val="S-Quad VAD"/>
      <sheetName val="Sheet3"/>
      <sheetName val="Correction Tables"/>
      <sheetName val="Detail"/>
      <sheetName val="Design Summary"/>
      <sheetName val="Loop Load"/>
      <sheetName val="Table 1"/>
      <sheetName val="Summary"/>
      <sheetName val="Sheet1"/>
      <sheetName val="Sheet2"/>
      <sheetName val="Print"/>
      <sheetName val="Background"/>
    </sheetNames>
    <sheetDataSet>
      <sheetData sheetId="0"/>
      <sheetData sheetId="1">
        <row r="69">
          <cell r="S69" t="str">
            <v>Red / High Output</v>
          </cell>
        </row>
        <row r="70">
          <cell r="S70" t="str">
            <v>Red / Med Output</v>
          </cell>
        </row>
        <row r="71">
          <cell r="S71" t="str">
            <v>Red / Low Output</v>
          </cell>
        </row>
        <row r="72">
          <cell r="S72" t="str">
            <v>White / High Output</v>
          </cell>
        </row>
        <row r="73">
          <cell r="S73" t="str">
            <v>White / Med Output</v>
          </cell>
        </row>
        <row r="74">
          <cell r="S74" t="str">
            <v>White / Low Output</v>
          </cell>
        </row>
        <row r="75">
          <cell r="S75" t="str">
            <v>S-Cubed</v>
          </cell>
        </row>
        <row r="76">
          <cell r="S76" t="str">
            <v>Sensor Sounder</v>
          </cell>
        </row>
      </sheetData>
      <sheetData sheetId="2"/>
      <sheetData sheetId="3"/>
      <sheetData sheetId="4"/>
      <sheetData sheetId="5"/>
      <sheetData sheetId="6">
        <row r="2">
          <cell r="R2" t="str">
            <v>White / Low Output</v>
          </cell>
        </row>
        <row r="25">
          <cell r="M25" t="str">
            <v>White</v>
          </cell>
        </row>
        <row r="26">
          <cell r="M26" t="str">
            <v>Direct</v>
          </cell>
        </row>
      </sheetData>
      <sheetData sheetId="7">
        <row r="4">
          <cell r="D4">
            <v>10</v>
          </cell>
        </row>
        <row r="5">
          <cell r="D5">
            <v>10</v>
          </cell>
        </row>
        <row r="6">
          <cell r="D6">
            <v>100</v>
          </cell>
        </row>
        <row r="7">
          <cell r="D7">
            <v>2.5</v>
          </cell>
        </row>
        <row r="11">
          <cell r="D11" t="str">
            <v>White / Low Output</v>
          </cell>
        </row>
      </sheetData>
      <sheetData sheetId="8">
        <row r="4">
          <cell r="B4">
            <v>0</v>
          </cell>
        </row>
        <row r="7">
          <cell r="B7">
            <v>0</v>
          </cell>
        </row>
        <row r="8">
          <cell r="B8">
            <v>1</v>
          </cell>
        </row>
      </sheetData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"/>
      <sheetName val="Table 1"/>
      <sheetName val="Sheet1"/>
      <sheetName val="Print"/>
      <sheetName val="VAD power settings"/>
      <sheetName val="VAD Commissioning Tool_in tegra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List of parts"/>
      <sheetName val="Price list view"/>
      <sheetName val="S3 S4 numbers and descriptions"/>
      <sheetName val="S3 S4 VOLUME ASSUMPTIONS"/>
      <sheetName val="S3 S4 VOLUME ASSUMPTIONS CLEAN"/>
      <sheetName val="SenTri S3 and S4"/>
      <sheetName val="SenTri Parts List View"/>
      <sheetName val="Sheet3"/>
    </sheetNames>
    <sheetDataSet>
      <sheetData sheetId="0"/>
      <sheetData sheetId="1"/>
      <sheetData sheetId="2"/>
      <sheetData sheetId="3">
        <row r="3">
          <cell r="A3" t="str">
            <v>S-Cubed Sounders, Voice Sounders</v>
          </cell>
        </row>
      </sheetData>
      <sheetData sheetId="4"/>
      <sheetData sheetId="5"/>
      <sheetData sheetId="6">
        <row r="5">
          <cell r="C5" t="str">
            <v>S3-S-R</v>
          </cell>
        </row>
        <row r="6">
          <cell r="C6" t="str">
            <v>S3-V-R</v>
          </cell>
        </row>
        <row r="7">
          <cell r="C7">
            <v>0</v>
          </cell>
        </row>
        <row r="8">
          <cell r="C8" t="str">
            <v>S3-LPW-R</v>
          </cell>
        </row>
        <row r="9">
          <cell r="C9" t="str">
            <v>S3-HPW-R</v>
          </cell>
        </row>
        <row r="10">
          <cell r="C10" t="str">
            <v>S3-S-LPW-R</v>
          </cell>
        </row>
        <row r="11">
          <cell r="C11" t="str">
            <v>S3-S-HPW-R</v>
          </cell>
        </row>
        <row r="12">
          <cell r="C12" t="str">
            <v>S3-V-HPW-R</v>
          </cell>
        </row>
        <row r="13">
          <cell r="C13">
            <v>0</v>
          </cell>
        </row>
        <row r="14">
          <cell r="C14" t="str">
            <v>S3-HPR-R</v>
          </cell>
        </row>
        <row r="15">
          <cell r="C15" t="str">
            <v>S3-V-HPR-R</v>
          </cell>
        </row>
        <row r="16">
          <cell r="C16">
            <v>0</v>
          </cell>
        </row>
        <row r="17">
          <cell r="C17" t="str">
            <v>S3-S-W</v>
          </cell>
        </row>
        <row r="18">
          <cell r="C18" t="str">
            <v>S3-V-W</v>
          </cell>
        </row>
        <row r="19">
          <cell r="C19">
            <v>0</v>
          </cell>
        </row>
        <row r="20">
          <cell r="C20" t="str">
            <v>S3-S-LPW-W</v>
          </cell>
        </row>
        <row r="21">
          <cell r="C21" t="str">
            <v>S3-S-HPW-W</v>
          </cell>
        </row>
        <row r="22">
          <cell r="C22" t="str">
            <v>S3-V-HPW-W</v>
          </cell>
        </row>
        <row r="23">
          <cell r="C23">
            <v>0</v>
          </cell>
        </row>
        <row r="24">
          <cell r="C24" t="str">
            <v>S3-V-HPR-W</v>
          </cell>
        </row>
        <row r="25">
          <cell r="C25">
            <v>0</v>
          </cell>
        </row>
        <row r="26">
          <cell r="C26">
            <v>0</v>
          </cell>
        </row>
        <row r="27">
          <cell r="C27">
            <v>0</v>
          </cell>
        </row>
        <row r="28">
          <cell r="C28" t="str">
            <v>S3EP-S-R</v>
          </cell>
        </row>
        <row r="29">
          <cell r="C29" t="str">
            <v>S3EP-S-HPW-R</v>
          </cell>
        </row>
        <row r="30">
          <cell r="C30" t="str">
            <v>S3EP-S-LPW-R</v>
          </cell>
        </row>
        <row r="31">
          <cell r="C31" t="str">
            <v>S3EP-V-HPW-R</v>
          </cell>
        </row>
        <row r="32">
          <cell r="C32" t="str">
            <v>S3EP-V-HPR-R</v>
          </cell>
        </row>
        <row r="33">
          <cell r="C33">
            <v>0</v>
          </cell>
        </row>
        <row r="34">
          <cell r="C34">
            <v>0</v>
          </cell>
        </row>
        <row r="35">
          <cell r="C35" t="str">
            <v>S3-BASE-R</v>
          </cell>
        </row>
        <row r="36">
          <cell r="C36" t="str">
            <v>S3-BASE-W</v>
          </cell>
        </row>
        <row r="37">
          <cell r="C37">
            <v>0</v>
          </cell>
        </row>
        <row r="38">
          <cell r="C38">
            <v>0</v>
          </cell>
        </row>
        <row r="40">
          <cell r="C40">
            <v>0</v>
          </cell>
        </row>
        <row r="41">
          <cell r="C41">
            <v>0</v>
          </cell>
        </row>
        <row r="42">
          <cell r="C42">
            <v>0</v>
          </cell>
        </row>
        <row r="43">
          <cell r="C43" t="str">
            <v>C3-S-R</v>
          </cell>
        </row>
        <row r="44">
          <cell r="C44">
            <v>0</v>
          </cell>
        </row>
        <row r="45">
          <cell r="C45" t="str">
            <v>C3-S-LPW-R</v>
          </cell>
        </row>
        <row r="46">
          <cell r="C46">
            <v>0</v>
          </cell>
        </row>
        <row r="47">
          <cell r="C47" t="str">
            <v>C3-S-HPW-R</v>
          </cell>
        </row>
        <row r="48">
          <cell r="C48">
            <v>0</v>
          </cell>
        </row>
        <row r="49">
          <cell r="C49">
            <v>0</v>
          </cell>
        </row>
        <row r="50">
          <cell r="C50">
            <v>0</v>
          </cell>
        </row>
        <row r="51">
          <cell r="C51" t="str">
            <v>C3EP-S-R</v>
          </cell>
        </row>
        <row r="52">
          <cell r="C52">
            <v>0</v>
          </cell>
        </row>
        <row r="53">
          <cell r="C53" t="str">
            <v>C3EP-S-HPW-R</v>
          </cell>
        </row>
        <row r="54">
          <cell r="C54">
            <v>0</v>
          </cell>
        </row>
        <row r="55">
          <cell r="C55" t="str">
            <v>C3EP-S-HPR-R</v>
          </cell>
        </row>
        <row r="56">
          <cell r="C56">
            <v>0</v>
          </cell>
        </row>
        <row r="60">
          <cell r="C60">
            <v>0</v>
          </cell>
        </row>
        <row r="61">
          <cell r="C61">
            <v>0</v>
          </cell>
        </row>
        <row r="62">
          <cell r="C62">
            <v>0</v>
          </cell>
        </row>
        <row r="63">
          <cell r="C63" t="str">
            <v>S4-711-HPR</v>
          </cell>
        </row>
        <row r="64">
          <cell r="C64" t="str">
            <v>S4-720-V-HPR</v>
          </cell>
        </row>
        <row r="65">
          <cell r="C65" t="str">
            <v>S4-711-V-HPR</v>
          </cell>
        </row>
        <row r="66">
          <cell r="C66" t="str">
            <v>S4-911-V-HPR</v>
          </cell>
        </row>
        <row r="67">
          <cell r="C67">
            <v>0</v>
          </cell>
        </row>
        <row r="68">
          <cell r="C68" t="str">
            <v>S4-711-LPW</v>
          </cell>
        </row>
        <row r="69">
          <cell r="C69" t="str">
            <v>S4-711-HPW</v>
          </cell>
        </row>
        <row r="70">
          <cell r="C70" t="str">
            <v>S4-711-V-LPW</v>
          </cell>
        </row>
        <row r="71">
          <cell r="C71" t="str">
            <v>S4-711-V-HPW</v>
          </cell>
        </row>
        <row r="72">
          <cell r="C72" t="str">
            <v>S4-720-V-HPW</v>
          </cell>
        </row>
        <row r="73">
          <cell r="C73" t="str">
            <v>S4-911-V-HPW</v>
          </cell>
        </row>
        <row r="74">
          <cell r="C74">
            <v>0</v>
          </cell>
        </row>
        <row r="75">
          <cell r="C75" t="str">
            <v>S4-711-V</v>
          </cell>
        </row>
        <row r="76">
          <cell r="C76" t="str">
            <v>S4-770</v>
          </cell>
        </row>
        <row r="77">
          <cell r="C77" t="str">
            <v>S4-771</v>
          </cell>
        </row>
        <row r="78">
          <cell r="C78" t="str">
            <v>S4-780</v>
          </cell>
        </row>
        <row r="79">
          <cell r="C79" t="str">
            <v>S4-911</v>
          </cell>
        </row>
      </sheetData>
      <sheetData sheetId="7"/>
      <sheetData sheetId="8"/>
      <sheetData sheetId="9">
        <row r="3">
          <cell r="F3" t="str">
            <v>SEN-780-VAD-HPR</v>
          </cell>
        </row>
        <row r="4">
          <cell r="F4" t="str">
            <v>SEN-770-VAD-HPR</v>
          </cell>
        </row>
        <row r="5">
          <cell r="F5" t="str">
            <v>SEN-780-VAD-LPW</v>
          </cell>
        </row>
        <row r="6">
          <cell r="F6" t="str">
            <v>SEN-780-VAD-HPW</v>
          </cell>
        </row>
        <row r="7">
          <cell r="F7" t="str">
            <v>SEN-770-VAD-LPW</v>
          </cell>
        </row>
        <row r="8">
          <cell r="F8" t="str">
            <v>SEN-770-VAD-HPW</v>
          </cell>
        </row>
        <row r="9">
          <cell r="F9" t="str">
            <v>SEN-715</v>
          </cell>
        </row>
        <row r="10">
          <cell r="F10" t="str">
            <v>SEN-710</v>
          </cell>
        </row>
        <row r="11">
          <cell r="F11" t="str">
            <v>SEN-720</v>
          </cell>
        </row>
        <row r="12">
          <cell r="F12" t="str">
            <v>SEN-780</v>
          </cell>
        </row>
        <row r="13">
          <cell r="F13" t="str">
            <v>SEN-770</v>
          </cell>
        </row>
        <row r="14">
          <cell r="F14" t="str">
            <v>SEN-VAD-HPR-EP-R</v>
          </cell>
        </row>
        <row r="15">
          <cell r="F15" t="str">
            <v>SEN-S-VAD-HPR-EP-R</v>
          </cell>
        </row>
        <row r="16">
          <cell r="F16" t="str">
            <v>SEN-VAD-HPW-EP-R</v>
          </cell>
        </row>
        <row r="17">
          <cell r="F17" t="str">
            <v>SEN-S-VAD-HPW-EP-R</v>
          </cell>
        </row>
        <row r="18">
          <cell r="F18" t="str">
            <v>SEN-S-EP-R</v>
          </cell>
        </row>
        <row r="19">
          <cell r="F19" t="str">
            <v>SEN-S-W</v>
          </cell>
        </row>
        <row r="20">
          <cell r="F20" t="str">
            <v>SEN-S-R</v>
          </cell>
        </row>
        <row r="21">
          <cell r="F21" t="str">
            <v>AV-VAD-HPR-EP</v>
          </cell>
        </row>
        <row r="22">
          <cell r="F22" t="str">
            <v>AV-S-VAD-HPR-EP</v>
          </cell>
        </row>
        <row r="23">
          <cell r="F23" t="str">
            <v>AV-VAD-HPW-EP</v>
          </cell>
        </row>
        <row r="24">
          <cell r="F24" t="str">
            <v>AV-S-VAD-LPW-EP</v>
          </cell>
        </row>
        <row r="25">
          <cell r="F25" t="str">
            <v>AV-S-VAD-HPW-EP</v>
          </cell>
        </row>
        <row r="26">
          <cell r="F26" t="str">
            <v>AV-S</v>
          </cell>
        </row>
        <row r="27">
          <cell r="F27" t="str">
            <v>AV-S-EP</v>
          </cell>
        </row>
        <row r="28">
          <cell r="F28" t="str">
            <v>N/A</v>
          </cell>
        </row>
        <row r="29">
          <cell r="F29">
            <v>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 of parts"/>
      <sheetName val="Cross List"/>
      <sheetName val="Sheet3"/>
      <sheetName val="Sheet1"/>
    </sheetNames>
    <sheetDataSet>
      <sheetData sheetId="0"/>
      <sheetData sheetId="1"/>
      <sheetData sheetId="2"/>
      <sheetData sheetId="3">
        <row r="2">
          <cell r="B2" t="str">
            <v>S3EP-S-R</v>
          </cell>
        </row>
        <row r="3">
          <cell r="B3" t="str">
            <v>S3EP-S-VAD-HPW-R</v>
          </cell>
        </row>
        <row r="4">
          <cell r="B4" t="str">
            <v>S3EP-S-VAD-LPW-R</v>
          </cell>
        </row>
        <row r="5">
          <cell r="B5" t="str">
            <v>S3EP-V-VAD-HPR-R</v>
          </cell>
        </row>
        <row r="6">
          <cell r="B6" t="str">
            <v>S3EP-V-VAD-HPW-R</v>
          </cell>
        </row>
        <row r="7">
          <cell r="B7" t="str">
            <v>S3-S-R</v>
          </cell>
        </row>
        <row r="8">
          <cell r="B8" t="str">
            <v>S3-S-VAD-HPW-R</v>
          </cell>
        </row>
        <row r="9">
          <cell r="B9" t="str">
            <v>S3-S-VAD-HPW-W</v>
          </cell>
        </row>
        <row r="10">
          <cell r="B10" t="str">
            <v>S3-S-VAD-LPW-R</v>
          </cell>
        </row>
        <row r="11">
          <cell r="B11" t="str">
            <v>S3-S-VAD-LPW-W</v>
          </cell>
        </row>
        <row r="12">
          <cell r="B12" t="str">
            <v>S3-S-W</v>
          </cell>
        </row>
        <row r="13">
          <cell r="B13" t="str">
            <v>S3-VAD-HPR-R</v>
          </cell>
        </row>
        <row r="14">
          <cell r="B14" t="str">
            <v>S3-VAD-HPW-R</v>
          </cell>
        </row>
        <row r="15">
          <cell r="B15" t="str">
            <v>S3-VAD-LPW-R</v>
          </cell>
        </row>
        <row r="16">
          <cell r="B16" t="str">
            <v>S3-V-R</v>
          </cell>
        </row>
        <row r="17">
          <cell r="B17" t="str">
            <v>S3-V-VAD-HPR-R</v>
          </cell>
        </row>
        <row r="18">
          <cell r="B18" t="str">
            <v>S3-V-VAD-HPR-W</v>
          </cell>
        </row>
        <row r="19">
          <cell r="B19" t="str">
            <v>S3-V-VAD-HPW-R</v>
          </cell>
        </row>
        <row r="20">
          <cell r="B20" t="str">
            <v>S3-V-VAD-HPW-W</v>
          </cell>
        </row>
        <row r="21">
          <cell r="B21" t="str">
            <v>S3-V-W</v>
          </cell>
        </row>
        <row r="22">
          <cell r="B22" t="str">
            <v>S4-711-VAD-HPR</v>
          </cell>
        </row>
        <row r="23">
          <cell r="B23" t="str">
            <v>S4-711-VAD-HPW</v>
          </cell>
        </row>
        <row r="24">
          <cell r="B24" t="str">
            <v>S4-711-VAD-LPW</v>
          </cell>
        </row>
        <row r="25">
          <cell r="B25" t="str">
            <v>S4-711-V-VAD-HPR</v>
          </cell>
        </row>
        <row r="26">
          <cell r="B26" t="str">
            <v>S4-711-V-VAD-HPW</v>
          </cell>
        </row>
        <row r="27">
          <cell r="B27" t="str">
            <v>S4-711-V-VAD-LPW</v>
          </cell>
        </row>
        <row r="28">
          <cell r="B28" t="str">
            <v>S4-720-V-VAD-HPR</v>
          </cell>
        </row>
        <row r="29">
          <cell r="B29" t="str">
            <v>S4-720-V-VAD-HPW</v>
          </cell>
        </row>
        <row r="30">
          <cell r="B30" t="str">
            <v>S4-911-V-VAD-HPR</v>
          </cell>
        </row>
        <row r="31">
          <cell r="B31" t="str">
            <v>S4-911-V-VAD-HPW</v>
          </cell>
        </row>
        <row r="32">
          <cell r="B32" t="str">
            <v>C3EP-S-R</v>
          </cell>
        </row>
        <row r="33">
          <cell r="B33" t="str">
            <v>C3EP-S-VAD-HPR-R</v>
          </cell>
        </row>
        <row r="34">
          <cell r="B34" t="str">
            <v>C3EP-S-VAD-HPW-R</v>
          </cell>
        </row>
        <row r="35">
          <cell r="B35" t="str">
            <v>C3-S-R</v>
          </cell>
        </row>
        <row r="36">
          <cell r="B36" t="str">
            <v>C3-S-VAD-HPW-R</v>
          </cell>
        </row>
        <row r="37">
          <cell r="B37" t="str">
            <v>C3-S-VAD-LPW-R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image" Target="../media/image8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7.emf"/><Relationship Id="rId4" Type="http://schemas.openxmlformats.org/officeDocument/2006/relationships/oleObject" Target="../embeddings/oleObject1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0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9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8.xml"/><Relationship Id="rId11" Type="http://schemas.openxmlformats.org/officeDocument/2006/relationships/comments" Target="../comments3.xml"/><Relationship Id="rId5" Type="http://schemas.openxmlformats.org/officeDocument/2006/relationships/ctrlProp" Target="../ctrlProps/ctrlProp7.xml"/><Relationship Id="rId10" Type="http://schemas.openxmlformats.org/officeDocument/2006/relationships/ctrlProp" Target="../ctrlProps/ctrlProp12.xml"/><Relationship Id="rId4" Type="http://schemas.openxmlformats.org/officeDocument/2006/relationships/ctrlProp" Target="../ctrlProps/ctrlProp6.xml"/><Relationship Id="rId9" Type="http://schemas.openxmlformats.org/officeDocument/2006/relationships/ctrlProp" Target="../ctrlProps/ctrlProp1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4">
    <pageSetUpPr fitToPage="1"/>
  </sheetPr>
  <dimension ref="A1:S10"/>
  <sheetViews>
    <sheetView showGridLines="0" showRowColHeaders="0" zoomScale="49" zoomScaleNormal="49" workbookViewId="0">
      <selection activeCell="K28" sqref="K28"/>
    </sheetView>
  </sheetViews>
  <sheetFormatPr defaultRowHeight="30" customHeight="1" x14ac:dyDescent="0.25"/>
  <cols>
    <col min="1" max="1" width="9.28515625" bestFit="1" customWidth="1"/>
    <col min="2" max="2" width="39.42578125" customWidth="1"/>
    <col min="3" max="3" width="15" hidden="1" customWidth="1"/>
    <col min="4" max="4" width="13.7109375" customWidth="1"/>
    <col min="5" max="5" width="15.7109375" customWidth="1"/>
    <col min="6" max="6" width="12.5703125" customWidth="1"/>
    <col min="7" max="7" width="14" customWidth="1"/>
    <col min="8" max="8" width="30.7109375" customWidth="1"/>
    <col min="9" max="9" width="34.28515625" customWidth="1"/>
    <col min="10" max="10" width="17.42578125" customWidth="1"/>
    <col min="11" max="11" width="15.5703125" customWidth="1"/>
    <col min="12" max="12" width="13.7109375" customWidth="1"/>
    <col min="13" max="13" width="11.5703125" customWidth="1"/>
    <col min="14" max="14" width="14.140625" customWidth="1"/>
    <col min="15" max="15" width="25.5703125" customWidth="1"/>
    <col min="16" max="16" width="18" customWidth="1"/>
    <col min="17" max="17" width="18.28515625" customWidth="1"/>
    <col min="18" max="18" width="31.5703125" customWidth="1"/>
    <col min="19" max="19" width="29.28515625" customWidth="1"/>
  </cols>
  <sheetData>
    <row r="1" spans="1:19" ht="15" x14ac:dyDescent="0.25"/>
    <row r="2" spans="1:19" ht="36" x14ac:dyDescent="0.25">
      <c r="E2" s="124" t="s">
        <v>278</v>
      </c>
      <c r="F2" s="124"/>
      <c r="G2" s="124"/>
      <c r="H2" s="124"/>
      <c r="I2" s="124"/>
      <c r="J2" s="124"/>
      <c r="K2" s="124"/>
      <c r="L2" s="129">
        <f ca="1">TODAY()</f>
        <v>42083</v>
      </c>
      <c r="M2" s="129"/>
      <c r="N2" s="129"/>
    </row>
    <row r="3" spans="1:19" ht="33.75" customHeight="1" x14ac:dyDescent="0.25"/>
    <row r="4" spans="1:19" ht="32.25" customHeight="1" x14ac:dyDescent="0.25">
      <c r="B4" s="125" t="s">
        <v>273</v>
      </c>
      <c r="C4" s="126"/>
      <c r="D4" s="127"/>
    </row>
    <row r="5" spans="1:19" ht="66.75" customHeight="1" x14ac:dyDescent="0.25">
      <c r="B5" s="128" t="str">
        <f>Project_Name</f>
        <v>20th March 2015</v>
      </c>
      <c r="C5" s="128"/>
      <c r="D5" s="128"/>
    </row>
    <row r="7" spans="1:19" ht="15" x14ac:dyDescent="0.25"/>
    <row r="8" spans="1:19" ht="15" x14ac:dyDescent="0.25"/>
    <row r="9" spans="1:19" ht="15" x14ac:dyDescent="0.25"/>
    <row r="10" spans="1:19" ht="75" x14ac:dyDescent="0.25">
      <c r="A10" s="111" t="s">
        <v>168</v>
      </c>
      <c r="B10" s="115" t="s">
        <v>169</v>
      </c>
      <c r="C10" s="112" t="s">
        <v>266</v>
      </c>
      <c r="D10" s="116" t="s">
        <v>171</v>
      </c>
      <c r="E10" s="117" t="s">
        <v>2</v>
      </c>
      <c r="F10" s="113" t="s">
        <v>277</v>
      </c>
      <c r="G10" s="114" t="s">
        <v>173</v>
      </c>
      <c r="H10" s="118" t="s">
        <v>264</v>
      </c>
      <c r="I10" s="118" t="s">
        <v>271</v>
      </c>
      <c r="J10" s="120" t="s">
        <v>179</v>
      </c>
      <c r="K10" s="118" t="s">
        <v>174</v>
      </c>
      <c r="L10" s="114" t="s">
        <v>175</v>
      </c>
      <c r="M10" s="114" t="s">
        <v>183</v>
      </c>
      <c r="N10" s="114" t="s">
        <v>176</v>
      </c>
      <c r="O10" s="119" t="s">
        <v>268</v>
      </c>
      <c r="P10" s="119" t="s">
        <v>180</v>
      </c>
      <c r="Q10" s="119" t="s">
        <v>269</v>
      </c>
      <c r="R10" s="121" t="s">
        <v>181</v>
      </c>
      <c r="S10" s="122" t="s">
        <v>182</v>
      </c>
    </row>
  </sheetData>
  <sortState ref="A11:U170">
    <sortCondition ref="A11:A66"/>
  </sortState>
  <mergeCells count="4">
    <mergeCell ref="E2:K2"/>
    <mergeCell ref="B4:D4"/>
    <mergeCell ref="B5:D5"/>
    <mergeCell ref="L2:N2"/>
  </mergeCells>
  <pageMargins left="0.7" right="0.7" top="0.75" bottom="0.75" header="0.3" footer="0.3"/>
  <pageSetup paperSize="9" scale="37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5"/>
  <dimension ref="B2:P336"/>
  <sheetViews>
    <sheetView showGridLines="0" showRowColHeaders="0" tabSelected="1" zoomScale="94" zoomScaleNormal="94" workbookViewId="0">
      <selection activeCell="J15" sqref="J15"/>
    </sheetView>
  </sheetViews>
  <sheetFormatPr defaultRowHeight="15" x14ac:dyDescent="0.25"/>
  <cols>
    <col min="15" max="15" width="18.85546875" bestFit="1" customWidth="1"/>
    <col min="16" max="16" width="44.85546875" customWidth="1"/>
  </cols>
  <sheetData>
    <row r="2" spans="2:16" x14ac:dyDescent="0.25">
      <c r="E2" s="105"/>
      <c r="F2" s="105"/>
      <c r="G2" s="105"/>
    </row>
    <row r="3" spans="2:16" x14ac:dyDescent="0.25">
      <c r="H3" s="131" t="s">
        <v>297</v>
      </c>
      <c r="I3" s="131"/>
      <c r="J3" s="131"/>
      <c r="K3" s="131"/>
      <c r="L3" s="131"/>
      <c r="O3" s="123" t="s">
        <v>248</v>
      </c>
      <c r="P3" s="123" t="str">
        <f>Project_Name</f>
        <v>20th March 2015</v>
      </c>
    </row>
    <row r="4" spans="2:16" x14ac:dyDescent="0.25">
      <c r="H4" s="131"/>
      <c r="I4" s="131"/>
      <c r="J4" s="131"/>
      <c r="K4" s="131"/>
      <c r="L4" s="131"/>
      <c r="O4" s="123" t="s">
        <v>251</v>
      </c>
      <c r="P4" s="123" t="str">
        <f>roomname</f>
        <v>Room 1</v>
      </c>
    </row>
    <row r="5" spans="2:16" x14ac:dyDescent="0.25">
      <c r="B5" s="56"/>
      <c r="C5" s="56"/>
      <c r="D5" s="56"/>
      <c r="E5" s="56"/>
      <c r="H5" s="131"/>
      <c r="I5" s="131"/>
      <c r="J5" s="131"/>
      <c r="K5" s="131"/>
      <c r="L5" s="131"/>
      <c r="O5" s="123" t="s">
        <v>252</v>
      </c>
      <c r="P5" s="123" t="str">
        <f>VADcolourtext</f>
        <v>White</v>
      </c>
    </row>
    <row r="6" spans="2:16" x14ac:dyDescent="0.25">
      <c r="B6" s="56"/>
      <c r="C6" s="56"/>
      <c r="D6" s="56"/>
      <c r="E6" s="56"/>
      <c r="O6" s="123" t="s">
        <v>253</v>
      </c>
      <c r="P6" s="123" t="str">
        <f>CONCATENATE(lengthofroom,"m x ",widthofroom,"m")</f>
        <v>10m x 5m</v>
      </c>
    </row>
    <row r="7" spans="2:16" x14ac:dyDescent="0.25">
      <c r="B7" s="56"/>
      <c r="C7" s="56"/>
      <c r="D7" s="56"/>
      <c r="E7" s="56"/>
      <c r="H7" s="130" t="s">
        <v>250</v>
      </c>
      <c r="I7" s="130"/>
      <c r="J7" s="130"/>
      <c r="K7" s="130"/>
      <c r="L7" s="130"/>
      <c r="O7" s="123" t="s">
        <v>183</v>
      </c>
      <c r="P7" s="123" t="str">
        <f>CONCATENATE(Ceilingheight,"m")</f>
        <v>2.5m</v>
      </c>
    </row>
    <row r="8" spans="2:16" x14ac:dyDescent="0.25">
      <c r="B8" s="56"/>
      <c r="C8" s="56"/>
      <c r="D8" s="56"/>
      <c r="E8" s="56"/>
      <c r="H8" s="130"/>
      <c r="I8" s="130"/>
      <c r="J8" s="130"/>
      <c r="K8" s="130"/>
      <c r="L8" s="130"/>
      <c r="O8" s="123" t="s">
        <v>254</v>
      </c>
      <c r="P8" s="123" t="str">
        <f>ambientdesc</f>
        <v>Well Below Average  (100 to 200 Lux)</v>
      </c>
    </row>
    <row r="9" spans="2:16" x14ac:dyDescent="0.25">
      <c r="H9" s="130"/>
      <c r="I9" s="130"/>
      <c r="J9" s="130"/>
      <c r="K9" s="130"/>
      <c r="L9" s="130"/>
    </row>
    <row r="10" spans="2:16" x14ac:dyDescent="0.25">
      <c r="H10" s="130"/>
      <c r="I10" s="130"/>
      <c r="J10" s="130"/>
      <c r="K10" s="130"/>
      <c r="L10" s="130"/>
    </row>
    <row r="11" spans="2:16" ht="20.100000000000001" customHeight="1" x14ac:dyDescent="0.25">
      <c r="H11" s="130"/>
      <c r="I11" s="130"/>
      <c r="J11" s="130"/>
      <c r="K11" s="130"/>
      <c r="L11" s="130"/>
    </row>
    <row r="12" spans="2:16" ht="20.100000000000001" customHeight="1" x14ac:dyDescent="0.25"/>
    <row r="13" spans="2:16" ht="20.100000000000001" customHeight="1" x14ac:dyDescent="0.25"/>
    <row r="14" spans="2:16" ht="20.100000000000001" customHeight="1" x14ac:dyDescent="0.25"/>
    <row r="15" spans="2:16" ht="20.100000000000001" customHeight="1" x14ac:dyDescent="0.25"/>
    <row r="16" spans="2:16" ht="20.100000000000001" customHeight="1" x14ac:dyDescent="0.25">
      <c r="G16" s="90"/>
      <c r="H16" s="90"/>
      <c r="I16" s="90"/>
    </row>
    <row r="17" ht="20.100000000000001" customHeight="1" x14ac:dyDescent="0.25"/>
    <row r="18" ht="20.100000000000001" customHeight="1" x14ac:dyDescent="0.25"/>
    <row r="19" ht="20.100000000000001" customHeight="1" x14ac:dyDescent="0.25"/>
    <row r="20" ht="20.100000000000001" customHeight="1" x14ac:dyDescent="0.25"/>
    <row r="21" ht="20.100000000000001" customHeight="1" x14ac:dyDescent="0.25"/>
    <row r="22" ht="20.100000000000001" customHeight="1" x14ac:dyDescent="0.25"/>
    <row r="23" ht="20.100000000000001" customHeight="1" x14ac:dyDescent="0.25"/>
    <row r="24" ht="20.100000000000001" customHeight="1" x14ac:dyDescent="0.25"/>
    <row r="25" ht="20.100000000000001" customHeight="1" x14ac:dyDescent="0.25"/>
    <row r="26" ht="20.100000000000001" customHeight="1" x14ac:dyDescent="0.25"/>
    <row r="27" ht="20.100000000000001" customHeight="1" x14ac:dyDescent="0.25"/>
    <row r="28" ht="20.100000000000001" customHeight="1" x14ac:dyDescent="0.25"/>
    <row r="29" ht="20.100000000000001" customHeight="1" x14ac:dyDescent="0.25"/>
    <row r="30" ht="20.100000000000001" customHeight="1" x14ac:dyDescent="0.25"/>
    <row r="31" ht="20.100000000000001" customHeight="1" x14ac:dyDescent="0.25"/>
    <row r="32" ht="20.100000000000001" customHeight="1" x14ac:dyDescent="0.25"/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  <row r="37" ht="20.100000000000001" customHeight="1" x14ac:dyDescent="0.25"/>
    <row r="38" ht="20.100000000000001" customHeight="1" x14ac:dyDescent="0.25"/>
    <row r="39" ht="20.100000000000001" customHeight="1" x14ac:dyDescent="0.25"/>
    <row r="40" ht="20.100000000000001" customHeight="1" x14ac:dyDescent="0.25"/>
    <row r="41" ht="20.100000000000001" customHeight="1" x14ac:dyDescent="0.25"/>
    <row r="42" ht="20.100000000000001" customHeight="1" x14ac:dyDescent="0.25"/>
    <row r="43" ht="20.100000000000001" customHeight="1" x14ac:dyDescent="0.25"/>
    <row r="44" ht="20.100000000000001" customHeight="1" x14ac:dyDescent="0.25"/>
    <row r="45" ht="20.100000000000001" customHeight="1" x14ac:dyDescent="0.25"/>
    <row r="46" ht="20.100000000000001" customHeight="1" x14ac:dyDescent="0.25"/>
    <row r="47" ht="20.100000000000001" customHeight="1" x14ac:dyDescent="0.25"/>
    <row r="48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  <row r="59" ht="20.100000000000001" customHeight="1" x14ac:dyDescent="0.25"/>
    <row r="60" ht="20.100000000000001" customHeight="1" x14ac:dyDescent="0.25"/>
    <row r="61" ht="20.100000000000001" customHeight="1" x14ac:dyDescent="0.25"/>
    <row r="62" ht="20.100000000000001" customHeight="1" x14ac:dyDescent="0.25"/>
    <row r="63" ht="20.100000000000001" customHeight="1" x14ac:dyDescent="0.25"/>
    <row r="64" ht="20.100000000000001" customHeight="1" x14ac:dyDescent="0.25"/>
    <row r="65" ht="20.100000000000001" customHeight="1" x14ac:dyDescent="0.25"/>
    <row r="66" ht="20.100000000000001" customHeight="1" x14ac:dyDescent="0.25"/>
    <row r="67" ht="20.100000000000001" customHeight="1" x14ac:dyDescent="0.25"/>
    <row r="68" ht="20.100000000000001" customHeight="1" x14ac:dyDescent="0.25"/>
    <row r="69" ht="20.100000000000001" customHeight="1" x14ac:dyDescent="0.25"/>
    <row r="70" ht="20.100000000000001" customHeight="1" x14ac:dyDescent="0.25"/>
    <row r="71" ht="20.100000000000001" customHeight="1" x14ac:dyDescent="0.25"/>
    <row r="72" ht="20.100000000000001" customHeight="1" x14ac:dyDescent="0.25"/>
    <row r="73" ht="20.100000000000001" customHeight="1" x14ac:dyDescent="0.25"/>
    <row r="74" ht="20.100000000000001" customHeight="1" x14ac:dyDescent="0.25"/>
    <row r="75" ht="20.100000000000001" customHeight="1" x14ac:dyDescent="0.25"/>
    <row r="76" ht="20.100000000000001" customHeight="1" x14ac:dyDescent="0.25"/>
    <row r="77" ht="20.100000000000001" customHeight="1" x14ac:dyDescent="0.25"/>
    <row r="78" ht="20.100000000000001" customHeight="1" x14ac:dyDescent="0.25"/>
    <row r="79" ht="20.100000000000001" customHeight="1" x14ac:dyDescent="0.25"/>
    <row r="80" ht="20.100000000000001" customHeight="1" x14ac:dyDescent="0.25"/>
    <row r="81" ht="20.100000000000001" customHeight="1" x14ac:dyDescent="0.25"/>
    <row r="82" ht="20.100000000000001" customHeight="1" x14ac:dyDescent="0.25"/>
    <row r="83" ht="20.100000000000001" customHeight="1" x14ac:dyDescent="0.25"/>
    <row r="84" ht="20.100000000000001" customHeight="1" x14ac:dyDescent="0.25"/>
    <row r="85" ht="20.100000000000001" customHeight="1" x14ac:dyDescent="0.25"/>
    <row r="86" ht="20.100000000000001" customHeight="1" x14ac:dyDescent="0.25"/>
    <row r="87" ht="20.100000000000001" customHeight="1" x14ac:dyDescent="0.25"/>
    <row r="88" ht="20.100000000000001" customHeight="1" x14ac:dyDescent="0.25"/>
    <row r="89" ht="20.100000000000001" customHeight="1" x14ac:dyDescent="0.25"/>
    <row r="90" ht="20.100000000000001" customHeight="1" x14ac:dyDescent="0.25"/>
    <row r="91" ht="20.100000000000001" customHeight="1" x14ac:dyDescent="0.25"/>
    <row r="92" ht="20.100000000000001" customHeight="1" x14ac:dyDescent="0.25"/>
    <row r="93" ht="20.100000000000001" customHeight="1" x14ac:dyDescent="0.25"/>
    <row r="94" ht="20.100000000000001" customHeight="1" x14ac:dyDescent="0.25"/>
    <row r="95" ht="20.100000000000001" customHeight="1" x14ac:dyDescent="0.25"/>
    <row r="96" ht="20.100000000000001" customHeight="1" x14ac:dyDescent="0.25"/>
    <row r="97" ht="20.100000000000001" customHeight="1" x14ac:dyDescent="0.25"/>
    <row r="98" ht="20.100000000000001" customHeight="1" x14ac:dyDescent="0.25"/>
    <row r="99" ht="20.100000000000001" customHeight="1" x14ac:dyDescent="0.25"/>
    <row r="100" ht="20.100000000000001" customHeight="1" x14ac:dyDescent="0.25"/>
    <row r="101" ht="20.100000000000001" customHeight="1" x14ac:dyDescent="0.25"/>
    <row r="102" ht="20.100000000000001" customHeight="1" x14ac:dyDescent="0.25"/>
    <row r="103" ht="20.100000000000001" customHeight="1" x14ac:dyDescent="0.25"/>
    <row r="104" ht="20.100000000000001" customHeight="1" x14ac:dyDescent="0.25"/>
    <row r="105" ht="20.100000000000001" customHeight="1" x14ac:dyDescent="0.25"/>
    <row r="106" ht="20.100000000000001" customHeight="1" x14ac:dyDescent="0.25"/>
    <row r="107" ht="20.100000000000001" customHeight="1" x14ac:dyDescent="0.25"/>
    <row r="108" ht="20.100000000000001" customHeight="1" x14ac:dyDescent="0.25"/>
    <row r="109" ht="20.100000000000001" customHeight="1" x14ac:dyDescent="0.25"/>
    <row r="110" ht="20.100000000000001" customHeight="1" x14ac:dyDescent="0.25"/>
    <row r="111" ht="20.100000000000001" customHeight="1" x14ac:dyDescent="0.25"/>
    <row r="112" ht="20.100000000000001" customHeight="1" x14ac:dyDescent="0.25"/>
    <row r="113" ht="20.100000000000001" customHeight="1" x14ac:dyDescent="0.25"/>
    <row r="114" ht="20.100000000000001" customHeight="1" x14ac:dyDescent="0.25"/>
    <row r="115" ht="20.100000000000001" customHeight="1" x14ac:dyDescent="0.25"/>
    <row r="116" ht="20.100000000000001" customHeight="1" x14ac:dyDescent="0.25"/>
    <row r="117" ht="20.100000000000001" customHeight="1" x14ac:dyDescent="0.25"/>
    <row r="118" ht="20.100000000000001" customHeight="1" x14ac:dyDescent="0.25"/>
    <row r="119" ht="20.100000000000001" customHeight="1" x14ac:dyDescent="0.25"/>
    <row r="120" ht="20.100000000000001" customHeight="1" x14ac:dyDescent="0.25"/>
    <row r="121" ht="20.100000000000001" customHeight="1" x14ac:dyDescent="0.25"/>
    <row r="122" ht="20.100000000000001" customHeight="1" x14ac:dyDescent="0.25"/>
    <row r="123" ht="20.100000000000001" customHeight="1" x14ac:dyDescent="0.25"/>
    <row r="124" ht="20.100000000000001" customHeight="1" x14ac:dyDescent="0.25"/>
    <row r="125" ht="20.100000000000001" customHeight="1" x14ac:dyDescent="0.25"/>
    <row r="126" ht="20.100000000000001" customHeight="1" x14ac:dyDescent="0.25"/>
    <row r="127" ht="20.100000000000001" customHeight="1" x14ac:dyDescent="0.25"/>
    <row r="128" ht="20.100000000000001" customHeight="1" x14ac:dyDescent="0.25"/>
    <row r="129" ht="20.100000000000001" customHeight="1" x14ac:dyDescent="0.25"/>
    <row r="130" ht="20.100000000000001" customHeight="1" x14ac:dyDescent="0.25"/>
    <row r="131" ht="20.100000000000001" customHeight="1" x14ac:dyDescent="0.25"/>
    <row r="132" ht="20.100000000000001" customHeight="1" x14ac:dyDescent="0.25"/>
    <row r="133" ht="20.100000000000001" customHeight="1" x14ac:dyDescent="0.25"/>
    <row r="134" ht="20.100000000000001" customHeight="1" x14ac:dyDescent="0.25"/>
    <row r="135" ht="20.100000000000001" customHeight="1" x14ac:dyDescent="0.25"/>
    <row r="136" ht="20.100000000000001" customHeight="1" x14ac:dyDescent="0.25"/>
    <row r="137" ht="20.100000000000001" customHeight="1" x14ac:dyDescent="0.25"/>
    <row r="138" ht="20.100000000000001" customHeight="1" x14ac:dyDescent="0.25"/>
    <row r="139" ht="20.100000000000001" customHeight="1" x14ac:dyDescent="0.25"/>
    <row r="140" ht="20.100000000000001" customHeight="1" x14ac:dyDescent="0.25"/>
    <row r="141" ht="20.100000000000001" customHeight="1" x14ac:dyDescent="0.25"/>
    <row r="142" ht="20.100000000000001" customHeight="1" x14ac:dyDescent="0.25"/>
    <row r="143" ht="20.100000000000001" customHeight="1" x14ac:dyDescent="0.25"/>
    <row r="144" ht="20.100000000000001" customHeight="1" x14ac:dyDescent="0.25"/>
    <row r="145" ht="20.100000000000001" customHeight="1" x14ac:dyDescent="0.25"/>
    <row r="146" ht="20.100000000000001" customHeight="1" x14ac:dyDescent="0.25"/>
    <row r="147" ht="20.100000000000001" customHeight="1" x14ac:dyDescent="0.25"/>
    <row r="148" ht="20.100000000000001" customHeight="1" x14ac:dyDescent="0.25"/>
    <row r="149" ht="20.100000000000001" customHeight="1" x14ac:dyDescent="0.25"/>
    <row r="150" ht="20.100000000000001" customHeight="1" x14ac:dyDescent="0.25"/>
    <row r="151" ht="20.100000000000001" customHeight="1" x14ac:dyDescent="0.25"/>
    <row r="152" ht="20.100000000000001" customHeight="1" x14ac:dyDescent="0.25"/>
    <row r="153" ht="20.100000000000001" customHeight="1" x14ac:dyDescent="0.25"/>
    <row r="154" ht="20.100000000000001" customHeight="1" x14ac:dyDescent="0.25"/>
    <row r="155" ht="20.100000000000001" customHeight="1" x14ac:dyDescent="0.25"/>
    <row r="156" ht="20.100000000000001" customHeight="1" x14ac:dyDescent="0.25"/>
    <row r="157" ht="20.100000000000001" customHeight="1" x14ac:dyDescent="0.25"/>
    <row r="158" ht="20.100000000000001" customHeight="1" x14ac:dyDescent="0.25"/>
    <row r="159" ht="20.100000000000001" customHeight="1" x14ac:dyDescent="0.25"/>
    <row r="160" ht="20.100000000000001" customHeight="1" x14ac:dyDescent="0.25"/>
    <row r="161" ht="20.100000000000001" customHeight="1" x14ac:dyDescent="0.25"/>
    <row r="162" ht="20.100000000000001" customHeight="1" x14ac:dyDescent="0.25"/>
    <row r="163" ht="20.100000000000001" customHeight="1" x14ac:dyDescent="0.25"/>
    <row r="164" ht="20.100000000000001" customHeight="1" x14ac:dyDescent="0.25"/>
    <row r="165" ht="20.100000000000001" customHeight="1" x14ac:dyDescent="0.25"/>
    <row r="166" ht="20.100000000000001" customHeight="1" x14ac:dyDescent="0.25"/>
    <row r="167" ht="20.100000000000001" customHeight="1" x14ac:dyDescent="0.25"/>
    <row r="168" ht="20.100000000000001" customHeight="1" x14ac:dyDescent="0.25"/>
    <row r="169" ht="20.100000000000001" customHeight="1" x14ac:dyDescent="0.25"/>
    <row r="170" ht="20.100000000000001" customHeight="1" x14ac:dyDescent="0.25"/>
    <row r="171" ht="20.100000000000001" customHeight="1" x14ac:dyDescent="0.25"/>
    <row r="172" ht="20.100000000000001" customHeight="1" x14ac:dyDescent="0.25"/>
    <row r="173" ht="20.100000000000001" customHeight="1" x14ac:dyDescent="0.25"/>
    <row r="174" ht="20.100000000000001" customHeight="1" x14ac:dyDescent="0.25"/>
    <row r="175" ht="20.100000000000001" customHeight="1" x14ac:dyDescent="0.25"/>
    <row r="176" ht="20.100000000000001" customHeight="1" x14ac:dyDescent="0.25"/>
    <row r="177" ht="20.100000000000001" customHeight="1" x14ac:dyDescent="0.25"/>
    <row r="178" ht="20.100000000000001" customHeight="1" x14ac:dyDescent="0.25"/>
    <row r="179" ht="20.100000000000001" customHeight="1" x14ac:dyDescent="0.25"/>
    <row r="180" ht="20.100000000000001" customHeight="1" x14ac:dyDescent="0.25"/>
    <row r="181" ht="20.100000000000001" customHeight="1" x14ac:dyDescent="0.25"/>
    <row r="182" ht="20.100000000000001" customHeight="1" x14ac:dyDescent="0.25"/>
    <row r="183" ht="20.100000000000001" customHeight="1" x14ac:dyDescent="0.25"/>
    <row r="184" ht="20.100000000000001" customHeight="1" x14ac:dyDescent="0.25"/>
    <row r="185" ht="20.100000000000001" customHeight="1" x14ac:dyDescent="0.25"/>
    <row r="186" ht="20.100000000000001" customHeight="1" x14ac:dyDescent="0.25"/>
    <row r="187" ht="20.100000000000001" customHeight="1" x14ac:dyDescent="0.25"/>
    <row r="188" ht="20.100000000000001" customHeight="1" x14ac:dyDescent="0.25"/>
    <row r="189" ht="20.100000000000001" customHeight="1" x14ac:dyDescent="0.25"/>
    <row r="190" ht="20.100000000000001" customHeight="1" x14ac:dyDescent="0.25"/>
    <row r="191" ht="20.100000000000001" customHeight="1" x14ac:dyDescent="0.25"/>
    <row r="192" ht="20.100000000000001" customHeight="1" x14ac:dyDescent="0.25"/>
    <row r="193" ht="20.100000000000001" customHeight="1" x14ac:dyDescent="0.25"/>
    <row r="194" ht="20.100000000000001" customHeight="1" x14ac:dyDescent="0.25"/>
    <row r="195" ht="20.100000000000001" customHeight="1" x14ac:dyDescent="0.25"/>
    <row r="196" ht="20.100000000000001" customHeight="1" x14ac:dyDescent="0.25"/>
    <row r="197" ht="20.100000000000001" customHeight="1" x14ac:dyDescent="0.25"/>
    <row r="198" ht="20.100000000000001" customHeight="1" x14ac:dyDescent="0.25"/>
    <row r="199" ht="20.100000000000001" customHeight="1" x14ac:dyDescent="0.25"/>
    <row r="200" ht="20.100000000000001" customHeight="1" x14ac:dyDescent="0.25"/>
    <row r="201" ht="20.100000000000001" customHeight="1" x14ac:dyDescent="0.25"/>
    <row r="202" ht="20.100000000000001" customHeight="1" x14ac:dyDescent="0.25"/>
    <row r="203" ht="20.100000000000001" customHeight="1" x14ac:dyDescent="0.25"/>
    <row r="204" ht="20.100000000000001" customHeight="1" x14ac:dyDescent="0.25"/>
    <row r="205" ht="20.100000000000001" customHeight="1" x14ac:dyDescent="0.25"/>
    <row r="206" ht="20.100000000000001" customHeight="1" x14ac:dyDescent="0.25"/>
    <row r="207" ht="20.100000000000001" customHeight="1" x14ac:dyDescent="0.25"/>
    <row r="208" ht="20.100000000000001" customHeight="1" x14ac:dyDescent="0.25"/>
    <row r="209" ht="20.100000000000001" customHeight="1" x14ac:dyDescent="0.25"/>
    <row r="210" ht="20.100000000000001" customHeight="1" x14ac:dyDescent="0.25"/>
    <row r="211" ht="20.100000000000001" customHeight="1" x14ac:dyDescent="0.25"/>
    <row r="212" ht="20.100000000000001" customHeight="1" x14ac:dyDescent="0.25"/>
    <row r="213" ht="20.100000000000001" customHeight="1" x14ac:dyDescent="0.25"/>
    <row r="214" ht="20.100000000000001" customHeight="1" x14ac:dyDescent="0.25"/>
    <row r="215" ht="20.100000000000001" customHeight="1" x14ac:dyDescent="0.25"/>
    <row r="216" ht="20.100000000000001" customHeight="1" x14ac:dyDescent="0.25"/>
    <row r="217" ht="20.100000000000001" customHeight="1" x14ac:dyDescent="0.25"/>
    <row r="218" ht="20.100000000000001" customHeight="1" x14ac:dyDescent="0.25"/>
    <row r="219" ht="20.100000000000001" customHeight="1" x14ac:dyDescent="0.25"/>
    <row r="220" ht="20.100000000000001" customHeight="1" x14ac:dyDescent="0.25"/>
    <row r="221" ht="20.100000000000001" customHeight="1" x14ac:dyDescent="0.25"/>
    <row r="222" ht="20.100000000000001" customHeight="1" x14ac:dyDescent="0.25"/>
    <row r="223" ht="20.100000000000001" customHeight="1" x14ac:dyDescent="0.25"/>
    <row r="224" ht="20.100000000000001" customHeight="1" x14ac:dyDescent="0.25"/>
    <row r="225" ht="20.100000000000001" customHeight="1" x14ac:dyDescent="0.25"/>
    <row r="226" ht="20.100000000000001" customHeight="1" x14ac:dyDescent="0.25"/>
    <row r="227" ht="20.100000000000001" customHeight="1" x14ac:dyDescent="0.25"/>
    <row r="228" ht="20.100000000000001" customHeight="1" x14ac:dyDescent="0.25"/>
    <row r="229" ht="20.100000000000001" customHeight="1" x14ac:dyDescent="0.25"/>
    <row r="230" ht="20.100000000000001" customHeight="1" x14ac:dyDescent="0.25"/>
    <row r="231" ht="20.100000000000001" customHeight="1" x14ac:dyDescent="0.25"/>
    <row r="232" ht="20.100000000000001" customHeight="1" x14ac:dyDescent="0.25"/>
    <row r="233" ht="20.100000000000001" customHeight="1" x14ac:dyDescent="0.25"/>
    <row r="234" ht="20.100000000000001" customHeight="1" x14ac:dyDescent="0.25"/>
    <row r="235" ht="20.100000000000001" customHeight="1" x14ac:dyDescent="0.25"/>
    <row r="236" ht="20.100000000000001" customHeight="1" x14ac:dyDescent="0.25"/>
    <row r="237" ht="20.100000000000001" customHeight="1" x14ac:dyDescent="0.25"/>
    <row r="238" ht="20.100000000000001" customHeight="1" x14ac:dyDescent="0.25"/>
    <row r="239" ht="20.100000000000001" customHeight="1" x14ac:dyDescent="0.25"/>
    <row r="240" ht="20.100000000000001" customHeight="1" x14ac:dyDescent="0.25"/>
    <row r="241" ht="20.100000000000001" customHeight="1" x14ac:dyDescent="0.25"/>
    <row r="242" ht="20.100000000000001" customHeight="1" x14ac:dyDescent="0.25"/>
    <row r="243" ht="20.100000000000001" customHeight="1" x14ac:dyDescent="0.25"/>
    <row r="244" ht="20.100000000000001" customHeight="1" x14ac:dyDescent="0.25"/>
    <row r="245" ht="20.100000000000001" customHeight="1" x14ac:dyDescent="0.25"/>
    <row r="246" ht="20.100000000000001" customHeight="1" x14ac:dyDescent="0.25"/>
    <row r="247" ht="20.100000000000001" customHeight="1" x14ac:dyDescent="0.25"/>
    <row r="248" ht="20.100000000000001" customHeight="1" x14ac:dyDescent="0.25"/>
    <row r="249" ht="20.100000000000001" customHeight="1" x14ac:dyDescent="0.25"/>
    <row r="250" ht="20.100000000000001" customHeight="1" x14ac:dyDescent="0.25"/>
    <row r="251" ht="20.100000000000001" customHeight="1" x14ac:dyDescent="0.25"/>
    <row r="252" ht="20.100000000000001" customHeight="1" x14ac:dyDescent="0.25"/>
    <row r="253" ht="20.100000000000001" customHeight="1" x14ac:dyDescent="0.25"/>
    <row r="254" ht="20.100000000000001" customHeight="1" x14ac:dyDescent="0.25"/>
    <row r="255" ht="20.100000000000001" customHeight="1" x14ac:dyDescent="0.25"/>
    <row r="256" ht="20.100000000000001" customHeight="1" x14ac:dyDescent="0.25"/>
    <row r="257" ht="20.100000000000001" customHeight="1" x14ac:dyDescent="0.25"/>
    <row r="258" ht="20.100000000000001" customHeight="1" x14ac:dyDescent="0.25"/>
    <row r="259" ht="20.100000000000001" customHeight="1" x14ac:dyDescent="0.25"/>
    <row r="260" ht="20.100000000000001" customHeight="1" x14ac:dyDescent="0.25"/>
    <row r="261" ht="20.100000000000001" customHeight="1" x14ac:dyDescent="0.25"/>
    <row r="262" ht="20.100000000000001" customHeight="1" x14ac:dyDescent="0.25"/>
    <row r="263" ht="20.100000000000001" customHeight="1" x14ac:dyDescent="0.25"/>
    <row r="264" ht="20.100000000000001" customHeight="1" x14ac:dyDescent="0.25"/>
    <row r="265" ht="20.100000000000001" customHeight="1" x14ac:dyDescent="0.25"/>
    <row r="266" ht="20.100000000000001" customHeight="1" x14ac:dyDescent="0.25"/>
    <row r="267" ht="20.100000000000001" customHeight="1" x14ac:dyDescent="0.25"/>
    <row r="268" ht="20.100000000000001" customHeight="1" x14ac:dyDescent="0.25"/>
    <row r="269" ht="20.100000000000001" customHeight="1" x14ac:dyDescent="0.25"/>
    <row r="270" ht="20.100000000000001" customHeight="1" x14ac:dyDescent="0.25"/>
    <row r="271" ht="20.100000000000001" customHeight="1" x14ac:dyDescent="0.25"/>
    <row r="272" ht="20.100000000000001" customHeight="1" x14ac:dyDescent="0.25"/>
    <row r="273" ht="20.100000000000001" customHeight="1" x14ac:dyDescent="0.25"/>
    <row r="274" ht="20.100000000000001" customHeight="1" x14ac:dyDescent="0.25"/>
    <row r="275" ht="20.100000000000001" customHeight="1" x14ac:dyDescent="0.25"/>
    <row r="276" ht="20.100000000000001" customHeight="1" x14ac:dyDescent="0.25"/>
    <row r="277" ht="20.100000000000001" customHeight="1" x14ac:dyDescent="0.25"/>
    <row r="278" ht="20.100000000000001" customHeight="1" x14ac:dyDescent="0.25"/>
    <row r="279" ht="20.100000000000001" customHeight="1" x14ac:dyDescent="0.25"/>
    <row r="280" ht="20.100000000000001" customHeight="1" x14ac:dyDescent="0.25"/>
    <row r="281" ht="20.100000000000001" customHeight="1" x14ac:dyDescent="0.25"/>
    <row r="282" ht="20.100000000000001" customHeight="1" x14ac:dyDescent="0.25"/>
    <row r="283" ht="20.100000000000001" customHeight="1" x14ac:dyDescent="0.25"/>
    <row r="284" ht="20.100000000000001" customHeight="1" x14ac:dyDescent="0.25"/>
    <row r="285" ht="20.100000000000001" customHeight="1" x14ac:dyDescent="0.25"/>
    <row r="286" ht="20.100000000000001" customHeight="1" x14ac:dyDescent="0.25"/>
    <row r="287" ht="20.100000000000001" customHeight="1" x14ac:dyDescent="0.25"/>
    <row r="288" ht="20.100000000000001" customHeight="1" x14ac:dyDescent="0.25"/>
    <row r="289" ht="20.100000000000001" customHeight="1" x14ac:dyDescent="0.25"/>
    <row r="290" ht="20.100000000000001" customHeight="1" x14ac:dyDescent="0.25"/>
    <row r="291" ht="20.100000000000001" customHeight="1" x14ac:dyDescent="0.25"/>
    <row r="292" ht="20.100000000000001" customHeight="1" x14ac:dyDescent="0.25"/>
    <row r="293" ht="20.100000000000001" customHeight="1" x14ac:dyDescent="0.25"/>
    <row r="294" ht="20.100000000000001" customHeight="1" x14ac:dyDescent="0.25"/>
    <row r="295" ht="20.100000000000001" customHeight="1" x14ac:dyDescent="0.25"/>
    <row r="296" ht="20.100000000000001" customHeight="1" x14ac:dyDescent="0.25"/>
    <row r="297" ht="20.100000000000001" customHeight="1" x14ac:dyDescent="0.25"/>
    <row r="298" ht="20.100000000000001" customHeight="1" x14ac:dyDescent="0.25"/>
    <row r="299" ht="20.100000000000001" customHeight="1" x14ac:dyDescent="0.25"/>
    <row r="300" ht="20.100000000000001" customHeight="1" x14ac:dyDescent="0.25"/>
    <row r="301" ht="20.100000000000001" customHeight="1" x14ac:dyDescent="0.25"/>
    <row r="302" ht="20.100000000000001" customHeight="1" x14ac:dyDescent="0.25"/>
    <row r="303" ht="20.100000000000001" customHeight="1" x14ac:dyDescent="0.25"/>
    <row r="304" ht="20.100000000000001" customHeight="1" x14ac:dyDescent="0.25"/>
    <row r="305" ht="20.100000000000001" customHeight="1" x14ac:dyDescent="0.25"/>
    <row r="306" ht="20.100000000000001" customHeight="1" x14ac:dyDescent="0.25"/>
    <row r="307" ht="20.100000000000001" customHeight="1" x14ac:dyDescent="0.25"/>
    <row r="308" ht="20.100000000000001" customHeight="1" x14ac:dyDescent="0.25"/>
    <row r="309" ht="20.100000000000001" customHeight="1" x14ac:dyDescent="0.25"/>
    <row r="310" ht="20.100000000000001" customHeight="1" x14ac:dyDescent="0.25"/>
    <row r="311" ht="20.100000000000001" customHeight="1" x14ac:dyDescent="0.25"/>
    <row r="312" ht="20.100000000000001" customHeight="1" x14ac:dyDescent="0.25"/>
    <row r="313" ht="20.100000000000001" customHeight="1" x14ac:dyDescent="0.25"/>
    <row r="314" ht="20.100000000000001" customHeight="1" x14ac:dyDescent="0.25"/>
    <row r="315" ht="20.100000000000001" customHeight="1" x14ac:dyDescent="0.25"/>
    <row r="316" ht="20.100000000000001" customHeight="1" x14ac:dyDescent="0.25"/>
    <row r="317" ht="20.100000000000001" customHeight="1" x14ac:dyDescent="0.25"/>
    <row r="318" ht="20.100000000000001" customHeight="1" x14ac:dyDescent="0.25"/>
    <row r="319" ht="20.100000000000001" customHeight="1" x14ac:dyDescent="0.25"/>
    <row r="320" ht="20.100000000000001" customHeight="1" x14ac:dyDescent="0.25"/>
    <row r="321" ht="20.100000000000001" customHeight="1" x14ac:dyDescent="0.25"/>
    <row r="322" ht="20.100000000000001" customHeight="1" x14ac:dyDescent="0.25"/>
    <row r="323" ht="20.100000000000001" customHeight="1" x14ac:dyDescent="0.25"/>
    <row r="324" ht="20.100000000000001" customHeight="1" x14ac:dyDescent="0.25"/>
    <row r="325" ht="20.100000000000001" customHeight="1" x14ac:dyDescent="0.25"/>
    <row r="326" ht="20.100000000000001" customHeight="1" x14ac:dyDescent="0.25"/>
    <row r="327" ht="20.100000000000001" customHeight="1" x14ac:dyDescent="0.25"/>
    <row r="328" ht="20.100000000000001" customHeight="1" x14ac:dyDescent="0.25"/>
    <row r="329" ht="20.100000000000001" customHeight="1" x14ac:dyDescent="0.25"/>
    <row r="330" ht="20.100000000000001" customHeight="1" x14ac:dyDescent="0.25"/>
    <row r="331" ht="20.100000000000001" customHeight="1" x14ac:dyDescent="0.25"/>
    <row r="332" ht="20.100000000000001" customHeight="1" x14ac:dyDescent="0.25"/>
    <row r="333" ht="20.100000000000001" customHeight="1" x14ac:dyDescent="0.25"/>
    <row r="334" ht="20.100000000000001" customHeight="1" x14ac:dyDescent="0.25"/>
    <row r="335" ht="20.100000000000001" customHeight="1" x14ac:dyDescent="0.25"/>
    <row r="336" ht="20.100000000000001" customHeight="1" x14ac:dyDescent="0.25"/>
  </sheetData>
  <sheetProtection sheet="1" objects="1" scenarios="1" selectLockedCells="1" selectUnlockedCells="1"/>
  <mergeCells count="2">
    <mergeCell ref="H7:L11"/>
    <mergeCell ref="H3:L5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AcroExch.Document.11" shapeId="8194" r:id="rId4">
          <objectPr locked="0" defaultSize="0" autoPict="0" macro="[0]!Object2_Click" r:id="rId5">
            <anchor moveWithCells="1">
              <from>
                <xdr:col>15</xdr:col>
                <xdr:colOff>981075</xdr:colOff>
                <xdr:row>19</xdr:row>
                <xdr:rowOff>238125</xdr:rowOff>
              </from>
              <to>
                <xdr:col>15</xdr:col>
                <xdr:colOff>2762250</xdr:colOff>
                <xdr:row>25</xdr:row>
                <xdr:rowOff>28575</xdr:rowOff>
              </to>
            </anchor>
          </objectPr>
        </oleObject>
      </mc:Choice>
      <mc:Fallback>
        <oleObject progId="AcroExch.Document.11" shapeId="8194" r:id="rId4"/>
      </mc:Fallback>
    </mc:AlternateContent>
    <mc:AlternateContent xmlns:mc="http://schemas.openxmlformats.org/markup-compatibility/2006">
      <mc:Choice Requires="x14">
        <oleObject progId="AcroExch.Document.11" shapeId="8196" r:id="rId6">
          <objectPr defaultSize="0" autoPict="0" macro="[0]!Object4_Click" r:id="rId7">
            <anchor moveWithCells="1">
              <from>
                <xdr:col>14</xdr:col>
                <xdr:colOff>657225</xdr:colOff>
                <xdr:row>12</xdr:row>
                <xdr:rowOff>47625</xdr:rowOff>
              </from>
              <to>
                <xdr:col>15</xdr:col>
                <xdr:colOff>619125</xdr:colOff>
                <xdr:row>19</xdr:row>
                <xdr:rowOff>38100</xdr:rowOff>
              </to>
            </anchor>
          </objectPr>
        </oleObject>
      </mc:Choice>
      <mc:Fallback>
        <oleObject progId="AcroExch.Document.11" shapeId="819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5:AB5"/>
  <sheetViews>
    <sheetView topLeftCell="A4" workbookViewId="0">
      <selection activeCell="F15" sqref="F15"/>
    </sheetView>
  </sheetViews>
  <sheetFormatPr defaultRowHeight="15" x14ac:dyDescent="0.25"/>
  <cols>
    <col min="3" max="3" width="24.140625" customWidth="1"/>
    <col min="4" max="4" width="9.28515625" bestFit="1" customWidth="1"/>
    <col min="5" max="6" width="12.85546875" customWidth="1"/>
    <col min="7" max="12" width="12.7109375" customWidth="1"/>
    <col min="13" max="23" width="0" hidden="1" customWidth="1"/>
    <col min="24" max="24" width="22.140625" customWidth="1"/>
    <col min="25" max="25" width="10.5703125" customWidth="1"/>
    <col min="26" max="26" width="20.28515625" customWidth="1"/>
    <col min="27" max="27" width="22.7109375" customWidth="1"/>
    <col min="28" max="28" width="23.42578125" customWidth="1"/>
  </cols>
  <sheetData>
    <row r="5" spans="2:28" ht="45" x14ac:dyDescent="0.25">
      <c r="B5" s="93" t="s">
        <v>168</v>
      </c>
      <c r="C5" s="44" t="s">
        <v>169</v>
      </c>
      <c r="D5" s="45" t="s">
        <v>170</v>
      </c>
      <c r="E5" s="45" t="s">
        <v>171</v>
      </c>
      <c r="F5" s="45" t="s">
        <v>2</v>
      </c>
      <c r="G5" s="47" t="s">
        <v>172</v>
      </c>
      <c r="H5" s="47" t="s">
        <v>173</v>
      </c>
      <c r="I5" s="48" t="s">
        <v>263</v>
      </c>
      <c r="J5" s="48" t="s">
        <v>175</v>
      </c>
      <c r="K5" s="48" t="s">
        <v>176</v>
      </c>
      <c r="L5" s="49" t="s">
        <v>177</v>
      </c>
      <c r="M5" s="50" t="s">
        <v>17</v>
      </c>
      <c r="N5" s="50" t="s">
        <v>23</v>
      </c>
      <c r="O5" s="50" t="s">
        <v>27</v>
      </c>
      <c r="P5" s="50" t="s">
        <v>33</v>
      </c>
      <c r="Q5" s="50" t="s">
        <v>36</v>
      </c>
      <c r="R5" s="50" t="s">
        <v>39</v>
      </c>
      <c r="S5" s="50" t="s">
        <v>39</v>
      </c>
      <c r="T5" s="50"/>
      <c r="U5" s="50"/>
      <c r="V5" s="50"/>
      <c r="W5" s="50"/>
      <c r="X5" s="50" t="s">
        <v>178</v>
      </c>
      <c r="Y5" s="50" t="s">
        <v>179</v>
      </c>
      <c r="Z5" s="50" t="s">
        <v>180</v>
      </c>
      <c r="AA5" s="51" t="s">
        <v>181</v>
      </c>
      <c r="AB5" s="52" t="s">
        <v>182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1:AH209"/>
  <sheetViews>
    <sheetView topLeftCell="P22" workbookViewId="0">
      <selection activeCell="Q33" sqref="Q33"/>
    </sheetView>
  </sheetViews>
  <sheetFormatPr defaultRowHeight="15" x14ac:dyDescent="0.25"/>
  <cols>
    <col min="1" max="1" width="6.28515625" customWidth="1"/>
    <col min="2" max="2" width="26.5703125" customWidth="1"/>
    <col min="6" max="6" width="10.140625" bestFit="1" customWidth="1"/>
    <col min="8" max="8" width="17.5703125" customWidth="1"/>
    <col min="9" max="9" width="27.5703125" customWidth="1"/>
    <col min="10" max="10" width="12.7109375" bestFit="1" customWidth="1"/>
    <col min="11" max="11" width="15.7109375" customWidth="1"/>
    <col min="16" max="16" width="41" bestFit="1" customWidth="1"/>
    <col min="17" max="17" width="22.85546875" bestFit="1" customWidth="1"/>
    <col min="19" max="19" width="61.85546875" bestFit="1" customWidth="1"/>
    <col min="20" max="20" width="15.28515625" bestFit="1" customWidth="1"/>
    <col min="21" max="21" width="12.5703125" bestFit="1" customWidth="1"/>
    <col min="22" max="22" width="18.5703125" bestFit="1" customWidth="1"/>
    <col min="23" max="23" width="19.140625" bestFit="1" customWidth="1"/>
    <col min="24" max="24" width="14.7109375" bestFit="1" customWidth="1"/>
    <col min="25" max="25" width="10.42578125" bestFit="1" customWidth="1"/>
  </cols>
  <sheetData>
    <row r="1" spans="1:34" x14ac:dyDescent="0.25">
      <c r="A1" s="132" t="s">
        <v>0</v>
      </c>
      <c r="B1" s="132"/>
      <c r="C1" s="132"/>
      <c r="E1" s="132" t="s">
        <v>1</v>
      </c>
      <c r="F1" s="132"/>
      <c r="G1" s="132"/>
      <c r="J1" s="132" t="s">
        <v>2</v>
      </c>
      <c r="K1" s="132"/>
      <c r="L1" s="132"/>
      <c r="M1" s="132"/>
      <c r="O1" t="s">
        <v>3</v>
      </c>
      <c r="Q1" s="132" t="s">
        <v>4</v>
      </c>
      <c r="R1" s="132"/>
      <c r="S1" s="132"/>
      <c r="W1" s="132" t="s">
        <v>5</v>
      </c>
      <c r="X1" s="132"/>
      <c r="Y1" s="132"/>
      <c r="Z1" s="132"/>
    </row>
    <row r="2" spans="1:34" ht="30" x14ac:dyDescent="0.25">
      <c r="A2" s="1"/>
      <c r="B2" s="1"/>
      <c r="C2" s="1"/>
      <c r="E2" s="2"/>
      <c r="F2" s="2"/>
      <c r="G2" s="2"/>
      <c r="J2" s="3" t="s">
        <v>6</v>
      </c>
      <c r="K2" s="4" t="s">
        <v>7</v>
      </c>
      <c r="L2" s="5"/>
      <c r="M2" s="5"/>
      <c r="O2" s="6"/>
      <c r="P2" s="6"/>
      <c r="S2" t="s">
        <v>8</v>
      </c>
      <c r="T2" t="s">
        <v>9</v>
      </c>
      <c r="U2" t="s">
        <v>10</v>
      </c>
      <c r="Y2" t="s">
        <v>8</v>
      </c>
      <c r="Z2" t="s">
        <v>11</v>
      </c>
      <c r="AA2" t="s">
        <v>12</v>
      </c>
      <c r="AC2" t="s">
        <v>13</v>
      </c>
    </row>
    <row r="3" spans="1:34" x14ac:dyDescent="0.25">
      <c r="A3" s="1">
        <v>1</v>
      </c>
      <c r="B3" s="1" t="s">
        <v>14</v>
      </c>
      <c r="C3" s="1"/>
      <c r="E3" s="1">
        <v>1</v>
      </c>
      <c r="F3" s="1" t="s">
        <v>15</v>
      </c>
      <c r="G3" s="2"/>
      <c r="J3">
        <v>550</v>
      </c>
      <c r="L3" s="5"/>
      <c r="M3" s="5"/>
      <c r="O3" s="6">
        <v>1</v>
      </c>
      <c r="P3" s="6" t="s">
        <v>16</v>
      </c>
      <c r="Q3" t="s">
        <v>17</v>
      </c>
      <c r="R3">
        <v>1</v>
      </c>
      <c r="S3" t="s">
        <v>18</v>
      </c>
      <c r="T3">
        <v>4.5</v>
      </c>
      <c r="U3">
        <v>14</v>
      </c>
      <c r="W3" t="s">
        <v>17</v>
      </c>
      <c r="X3" t="s">
        <v>19</v>
      </c>
      <c r="Y3" t="str">
        <f>CONCATENATE("W-",Z3,"-",AA3)</f>
        <v>W-6.7-14</v>
      </c>
      <c r="Z3">
        <v>6.7</v>
      </c>
      <c r="AA3">
        <v>14</v>
      </c>
    </row>
    <row r="4" spans="1:34" x14ac:dyDescent="0.25">
      <c r="A4" s="1">
        <v>2</v>
      </c>
      <c r="B4" s="1" t="s">
        <v>20</v>
      </c>
      <c r="C4" s="1"/>
      <c r="E4" s="1">
        <v>2</v>
      </c>
      <c r="F4" s="1" t="s">
        <v>21</v>
      </c>
      <c r="G4" s="2"/>
      <c r="L4" s="5"/>
      <c r="M4" s="5"/>
      <c r="O4" s="6">
        <v>2</v>
      </c>
      <c r="P4" s="6" t="s">
        <v>22</v>
      </c>
      <c r="Q4" t="s">
        <v>23</v>
      </c>
      <c r="R4">
        <v>2</v>
      </c>
      <c r="S4" t="s">
        <v>24</v>
      </c>
      <c r="T4">
        <v>4</v>
      </c>
      <c r="U4">
        <v>13</v>
      </c>
      <c r="W4" t="s">
        <v>23</v>
      </c>
      <c r="X4" t="s">
        <v>25</v>
      </c>
      <c r="Y4" t="str">
        <f t="shared" ref="Y4:Y12" si="0">CONCATENATE("W-",Z4,"-",AA4)</f>
        <v>W-6.5-12.5</v>
      </c>
      <c r="Z4">
        <v>6.5</v>
      </c>
      <c r="AA4">
        <v>12.5</v>
      </c>
      <c r="AD4" s="6">
        <v>0</v>
      </c>
      <c r="AE4" t="e">
        <f>VLOOKUP(filtertype,O3:P4,2,0)</f>
        <v>#N/A</v>
      </c>
      <c r="AG4">
        <v>1</v>
      </c>
      <c r="AH4" t="s">
        <v>26</v>
      </c>
    </row>
    <row r="5" spans="1:34" x14ac:dyDescent="0.25">
      <c r="A5" s="1"/>
      <c r="B5" s="1"/>
      <c r="C5" s="1"/>
      <c r="E5" s="1">
        <v>3</v>
      </c>
      <c r="F5" s="1" t="s">
        <v>15</v>
      </c>
      <c r="G5" s="2"/>
      <c r="J5" s="5"/>
      <c r="K5" s="5"/>
      <c r="L5" s="5"/>
      <c r="M5" s="5"/>
      <c r="O5" s="6">
        <v>1</v>
      </c>
      <c r="P5" s="6" t="s">
        <v>19</v>
      </c>
      <c r="Q5" t="s">
        <v>27</v>
      </c>
      <c r="R5">
        <v>3</v>
      </c>
      <c r="S5" t="s">
        <v>28</v>
      </c>
      <c r="T5">
        <v>3</v>
      </c>
      <c r="U5">
        <v>10</v>
      </c>
      <c r="W5" t="s">
        <v>27</v>
      </c>
      <c r="X5" t="s">
        <v>29</v>
      </c>
      <c r="Y5" t="str">
        <f t="shared" si="0"/>
        <v>W-5-9.5</v>
      </c>
      <c r="Z5">
        <v>5</v>
      </c>
      <c r="AA5">
        <v>9.5</v>
      </c>
      <c r="AD5" s="1">
        <v>0</v>
      </c>
      <c r="AE5" t="e">
        <f>VLOOKUP(filtercolour,A3:B4,2,0)</f>
        <v>#N/A</v>
      </c>
      <c r="AG5">
        <v>2</v>
      </c>
      <c r="AH5" t="s">
        <v>30</v>
      </c>
    </row>
    <row r="6" spans="1:34" x14ac:dyDescent="0.25">
      <c r="A6" s="1"/>
      <c r="B6" s="1"/>
      <c r="C6" s="1"/>
      <c r="E6" s="1">
        <v>4</v>
      </c>
      <c r="F6" s="1" t="s">
        <v>21</v>
      </c>
      <c r="G6" s="2"/>
      <c r="K6" t="s">
        <v>31</v>
      </c>
      <c r="O6" s="6">
        <v>2</v>
      </c>
      <c r="P6" s="6" t="s">
        <v>32</v>
      </c>
      <c r="Q6" t="s">
        <v>33</v>
      </c>
      <c r="R6">
        <v>4</v>
      </c>
      <c r="S6" t="s">
        <v>34</v>
      </c>
      <c r="T6">
        <v>6</v>
      </c>
      <c r="U6">
        <v>16</v>
      </c>
      <c r="W6" t="s">
        <v>33</v>
      </c>
      <c r="X6" t="s">
        <v>19</v>
      </c>
      <c r="Y6" t="str">
        <f t="shared" si="0"/>
        <v>W-5-12.5</v>
      </c>
      <c r="Z6">
        <v>5</v>
      </c>
      <c r="AA6">
        <v>12.5</v>
      </c>
      <c r="AD6">
        <v>0</v>
      </c>
      <c r="AE6" t="e">
        <f>VLOOKUP(VADsounder,AG4:AH6,2,0)</f>
        <v>#N/A</v>
      </c>
      <c r="AG6">
        <v>3</v>
      </c>
      <c r="AH6" t="s">
        <v>35</v>
      </c>
    </row>
    <row r="7" spans="1:34" x14ac:dyDescent="0.25">
      <c r="A7" s="1"/>
      <c r="B7" s="1"/>
      <c r="C7" s="1"/>
      <c r="E7" s="2"/>
      <c r="F7" s="2"/>
      <c r="G7" s="2"/>
      <c r="J7" s="5"/>
      <c r="K7" s="5"/>
      <c r="L7" s="5"/>
      <c r="M7" s="5"/>
      <c r="O7" s="6"/>
      <c r="P7" s="6" t="str">
        <f>IF(wallorceiling="Wall","W-","C-")</f>
        <v>W-</v>
      </c>
      <c r="Q7" t="s">
        <v>36</v>
      </c>
      <c r="R7">
        <v>5</v>
      </c>
      <c r="S7" t="s">
        <v>37</v>
      </c>
      <c r="T7">
        <v>5</v>
      </c>
      <c r="U7">
        <v>14</v>
      </c>
      <c r="W7" t="s">
        <v>36</v>
      </c>
      <c r="X7" t="s">
        <v>25</v>
      </c>
      <c r="Y7" t="str">
        <f t="shared" si="0"/>
        <v>W-4.5-11.3</v>
      </c>
      <c r="Z7">
        <v>4.5</v>
      </c>
      <c r="AA7">
        <v>11.3</v>
      </c>
      <c r="AD7">
        <v>0</v>
      </c>
      <c r="AE7" t="e">
        <f>VLOOKUP(VADinternal,AG7:AH8,2,0)</f>
        <v>#N/A</v>
      </c>
      <c r="AG7">
        <v>1</v>
      </c>
      <c r="AH7" t="s">
        <v>38</v>
      </c>
    </row>
    <row r="8" spans="1:34" x14ac:dyDescent="0.25">
      <c r="C8" s="1"/>
      <c r="G8" s="2"/>
      <c r="J8" s="5"/>
      <c r="K8" s="8">
        <f>IF(AND(Lineofsight=1,Type=1),1,IF(AND(Lineofsight=2,Type=1),2,IF(AND(Lineofsight=1,Type=2),3,IF(AND(Lineofsight=2,Type=2),4))))</f>
        <v>3</v>
      </c>
      <c r="L8" s="5"/>
      <c r="M8" s="5"/>
      <c r="O8" s="6"/>
      <c r="P8" s="2" t="str">
        <f>P9</f>
        <v>Wall</v>
      </c>
      <c r="Q8" t="s">
        <v>39</v>
      </c>
      <c r="R8">
        <v>6</v>
      </c>
      <c r="S8" t="s">
        <v>40</v>
      </c>
      <c r="T8">
        <v>4</v>
      </c>
      <c r="U8">
        <v>10.8</v>
      </c>
      <c r="W8" t="s">
        <v>39</v>
      </c>
      <c r="X8" t="s">
        <v>29</v>
      </c>
      <c r="Y8" t="str">
        <f t="shared" si="0"/>
        <v>W-3-8.5</v>
      </c>
      <c r="Z8">
        <v>3</v>
      </c>
      <c r="AA8">
        <v>8.5</v>
      </c>
      <c r="AG8">
        <v>2</v>
      </c>
      <c r="AH8" t="s">
        <v>41</v>
      </c>
    </row>
    <row r="9" spans="1:34" x14ac:dyDescent="0.25">
      <c r="A9" s="1"/>
      <c r="B9" s="1"/>
      <c r="C9" s="1"/>
      <c r="E9" s="2"/>
      <c r="G9" s="2"/>
      <c r="J9" s="5"/>
      <c r="K9" s="5"/>
      <c r="L9" s="5"/>
      <c r="M9" s="5"/>
      <c r="O9" s="9">
        <f>VLOOKUP(selectedVAD,Q35:S75,3,0)</f>
        <v>2</v>
      </c>
      <c r="P9" s="9" t="str">
        <f>VLOOKUP(Type,O3:P4,2,0)</f>
        <v>Wall</v>
      </c>
      <c r="Q9" t="s">
        <v>42</v>
      </c>
      <c r="R9">
        <v>7</v>
      </c>
      <c r="S9" t="s">
        <v>28</v>
      </c>
      <c r="T9">
        <v>3</v>
      </c>
      <c r="U9">
        <v>10</v>
      </c>
      <c r="W9" t="s">
        <v>42</v>
      </c>
      <c r="X9" t="s">
        <v>43</v>
      </c>
      <c r="Y9" t="str">
        <f t="shared" si="0"/>
        <v>W-3-8.5</v>
      </c>
      <c r="Z9">
        <v>3</v>
      </c>
      <c r="AA9">
        <v>8.5</v>
      </c>
    </row>
    <row r="10" spans="1:34" x14ac:dyDescent="0.25">
      <c r="A10" s="7" t="str">
        <f>IF(Sheet2!B2=2,"Selected VAD Colour = White","Selected VAD Colour = Red")</f>
        <v>Selected VAD Colour = White</v>
      </c>
      <c r="B10" s="1"/>
      <c r="C10" s="1"/>
      <c r="E10" s="2" t="str">
        <f>IF(OR(Sheet2!E2=1,Sheet2!E2=3),"Viewing Angle = Direct","Viewing Angle = Indirect")</f>
        <v>Viewing Angle = Direct</v>
      </c>
      <c r="F10" s="2"/>
      <c r="G10" s="2"/>
      <c r="J10" s="10" t="s">
        <v>31</v>
      </c>
      <c r="K10" s="8">
        <v>1.4</v>
      </c>
      <c r="L10" s="5"/>
      <c r="M10" s="5"/>
      <c r="O10" s="11">
        <f>VLOOKUP(selectedVAD,Q35:X75,8,0)</f>
        <v>1</v>
      </c>
      <c r="P10" s="11" t="str">
        <f>VLOOKUP(power,O5:P6,2,0)</f>
        <v>High Power</v>
      </c>
      <c r="Q10" t="s">
        <v>44</v>
      </c>
      <c r="S10" t="s">
        <v>34</v>
      </c>
      <c r="W10" t="s">
        <v>44</v>
      </c>
      <c r="X10" t="s">
        <v>19</v>
      </c>
      <c r="Y10" t="str">
        <f t="shared" si="0"/>
        <v>W-5-12.5</v>
      </c>
      <c r="Z10">
        <f>Z6</f>
        <v>5</v>
      </c>
      <c r="AA10">
        <f>AA6</f>
        <v>12.5</v>
      </c>
    </row>
    <row r="11" spans="1:34" x14ac:dyDescent="0.25">
      <c r="B11" s="1"/>
      <c r="C11" s="1"/>
      <c r="E11" s="2"/>
      <c r="F11" s="2"/>
      <c r="G11" s="2"/>
      <c r="J11" s="5"/>
      <c r="K11" s="5"/>
      <c r="L11" s="5"/>
      <c r="M11" s="5"/>
      <c r="P11" s="6"/>
      <c r="Q11" t="s">
        <v>45</v>
      </c>
      <c r="S11" t="s">
        <v>18</v>
      </c>
      <c r="W11" t="s">
        <v>45</v>
      </c>
      <c r="X11" t="s">
        <v>19</v>
      </c>
      <c r="Y11" t="str">
        <f t="shared" si="0"/>
        <v>W-6.7-14</v>
      </c>
      <c r="Z11">
        <f>+Z3</f>
        <v>6.7</v>
      </c>
      <c r="AA11">
        <f>+AA3</f>
        <v>14</v>
      </c>
    </row>
    <row r="12" spans="1:34" x14ac:dyDescent="0.25">
      <c r="H12" s="12"/>
      <c r="I12" s="12"/>
      <c r="Q12" t="s">
        <v>46</v>
      </c>
      <c r="R12">
        <v>8</v>
      </c>
      <c r="S12" t="s">
        <v>28</v>
      </c>
      <c r="T12">
        <v>3</v>
      </c>
      <c r="U12">
        <v>10</v>
      </c>
      <c r="W12" t="s">
        <v>46</v>
      </c>
      <c r="X12" t="s">
        <v>43</v>
      </c>
      <c r="Y12" t="str">
        <f t="shared" si="0"/>
        <v>W-3-8.5</v>
      </c>
      <c r="Z12">
        <v>3</v>
      </c>
      <c r="AA12">
        <v>8.5</v>
      </c>
    </row>
    <row r="13" spans="1:34" ht="60" x14ac:dyDescent="0.25">
      <c r="K13">
        <v>1</v>
      </c>
      <c r="L13" s="13" t="s">
        <v>47</v>
      </c>
      <c r="M13" s="13" t="s">
        <v>48</v>
      </c>
      <c r="N13" s="13" t="s">
        <v>49</v>
      </c>
      <c r="O13" s="13" t="s">
        <v>50</v>
      </c>
      <c r="R13">
        <f>S13*2</f>
        <v>11.8861263664829</v>
      </c>
      <c r="S13">
        <f>SQRT(T13)</f>
        <v>5.94306318324145</v>
      </c>
      <c r="T13">
        <f>AB14-9</f>
        <v>35.319999999999993</v>
      </c>
      <c r="Y13">
        <f>(R17*R17+(S17*S17)/4)-(U18*U18)</f>
        <v>46.792499999999983</v>
      </c>
    </row>
    <row r="14" spans="1:34" x14ac:dyDescent="0.25">
      <c r="A14" s="132" t="s">
        <v>51</v>
      </c>
      <c r="B14" s="132"/>
      <c r="C14" s="132"/>
      <c r="E14" s="132" t="s">
        <v>52</v>
      </c>
      <c r="F14" s="132"/>
      <c r="G14" s="132"/>
      <c r="H14" t="s">
        <v>53</v>
      </c>
      <c r="K14" t="s">
        <v>54</v>
      </c>
      <c r="Q14" t="str">
        <f>CONCATENATE(Q15," ***")</f>
        <v>White / High Output ***</v>
      </c>
      <c r="R14">
        <f>R15</f>
        <v>7</v>
      </c>
      <c r="S14" t="s">
        <v>10</v>
      </c>
      <c r="U14" t="str">
        <f>IF(AND(R17&gt;=U18,S22&gt;=V18),Q17,IF(AND(R16&gt;=U18,S21&gt;=V18),Q16,IF(AND(R15&gt;=U18,S20&gt;=V18),Q15,Q14)))</f>
        <v>White / Low Output</v>
      </c>
      <c r="Z14">
        <f>3.6*3.6</f>
        <v>12.96</v>
      </c>
      <c r="AA14">
        <f>5.6*5.6</f>
        <v>31.359999999999996</v>
      </c>
      <c r="AB14">
        <f>AA14+Z14</f>
        <v>44.319999999999993</v>
      </c>
      <c r="AC14" s="14">
        <f>SQRT(AB14)</f>
        <v>6.6573267908372946</v>
      </c>
    </row>
    <row r="15" spans="1:34" x14ac:dyDescent="0.25">
      <c r="A15" s="15"/>
      <c r="B15" s="15"/>
      <c r="C15" s="15"/>
      <c r="E15" s="16"/>
      <c r="F15" s="16"/>
      <c r="G15" s="16"/>
      <c r="H15">
        <v>99</v>
      </c>
      <c r="L15">
        <v>2.8</v>
      </c>
      <c r="M15">
        <v>1.3</v>
      </c>
      <c r="N15">
        <v>5.2</v>
      </c>
      <c r="O15">
        <v>1.8</v>
      </c>
      <c r="Q15" s="17" t="str">
        <f>IF(AND(Sheet2!$C$2="Red",$P$8="Ceiling"),Q3,IF(AND(Sheet2!$C$2="White",$P$8="Ceiling"),Q6,IF(AND(Sheet2!$C$2="Red",$P$8="Wall"),W3,IF(AND(Sheet2!$C$2="White",$P$8="Wall"),W6))))</f>
        <v>White / High Output</v>
      </c>
      <c r="R15" s="18">
        <f>IF(AND(Sheet2!$F$2="Direct",$P$8="Ceiling"),VLOOKUP(Q15,Q3:U12,4,0)*$K$10,IF(AND(Sheet2!$F$2="Indirect",$P$8="Ceiling"),VLOOKUP(Q15,Q3:U12,4,0)*$K$10,IF(AND(Sheet2!$F$2="Direct",$P$8="Wall"),VLOOKUP(Q15,W3:AA12,4,0)*$K$10,IF(AND(Sheet2!$F$2="Indirect",$P$8="Wall"),VLOOKUP(Q15,W3:AA12,4,0)*$K$10))))</f>
        <v>7</v>
      </c>
      <c r="S15" s="18">
        <f>IF(AND(Sheet2!$F$2="Direct",$P$8="Ceiling"),VLOOKUP(Q15,$Q$3:$U$9,5,0)*$K$10,IF(AND(Sheet2!$F$2="Indirect",$P$8="Ceiling"),VLOOKUP(Q15,$Q$3:$U$9,5,0)*$K$10,IF(AND(Sheet2!$F$2="Direct",$P$8="Wall"),VLOOKUP(Q15,$W$3:$AA$9,5,0)*$K$10,IF(AND(Sheet2!$F$2="Indirect",$P$8="Wall"),VLOOKUP(Q15,$W$3:$AA$9,5,0)*$K$10))))</f>
        <v>17.5</v>
      </c>
      <c r="T15" s="12">
        <f>IF(P8="Wall",S15,IF((R15*R15+(S15*S15)/4)-(U19*U19)&gt;0,2*(SQRT((R15*R15+(S15*S15)/4)-(U19*U19))),"N/A"))</f>
        <v>17.5</v>
      </c>
      <c r="V15">
        <f>K10</f>
        <v>1.4</v>
      </c>
      <c r="X15" s="12">
        <f>2*(SQRT((R15*R15+(S15*S15)/4)-(U19*U19)))</f>
        <v>21.846052274953479</v>
      </c>
    </row>
    <row r="16" spans="1:34" x14ac:dyDescent="0.25">
      <c r="A16" s="15">
        <v>41</v>
      </c>
      <c r="C16" s="15"/>
      <c r="E16" s="16">
        <v>21</v>
      </c>
      <c r="F16" s="19">
        <v>10</v>
      </c>
      <c r="G16" s="16"/>
      <c r="H16">
        <v>199</v>
      </c>
      <c r="L16">
        <v>2.4</v>
      </c>
      <c r="M16">
        <v>1.2</v>
      </c>
      <c r="N16">
        <v>4.4000000000000004</v>
      </c>
      <c r="O16">
        <v>1.7</v>
      </c>
      <c r="Q16" s="17" t="str">
        <f>IF(AND(Sheet2!$C$2="Red",$P$8="Ceiling"),Q4,IF(AND(Sheet2!$C$2="White",$P$8="Ceiling"),Q7,IF(AND(Sheet2!$C$2="Red",$P$8="Wall"),W4,IF(AND(Sheet2!$C$2="White",$P$8="Wall"),W7))))</f>
        <v>White / Med Output</v>
      </c>
      <c r="R16" s="18">
        <f>IF(AND(Sheet2!$F$2="Direct",$P$8="Ceiling"),VLOOKUP(Q16,Q3:U9,4,0)*$K$10,IF(AND(Sheet2!$F$2="Indirect",$P$8="Ceiling"),VLOOKUP(Q16,Q3:U9,4,0)*$K$10,IF(AND(Sheet2!$F$2="Direct",$P$8="Wall"),VLOOKUP(Q16,W3:AA9,4,0)*$K$10,IF(AND(Sheet2!$F$2="Indirect",$P$8="Wall"),VLOOKUP(Q16,W3:AA9,4,0)*$K$10))))</f>
        <v>6.3</v>
      </c>
      <c r="S16" s="18">
        <f>IF(AND(Sheet2!$F$2="Direct",$P$8="Ceiling"),VLOOKUP(Q16,$Q$3:$U$9,5,0)*$K$10,IF(AND(Sheet2!$F$2="Indirect",$P$8="Ceiling"),VLOOKUP(Q16,$Q$3:$U$9,5,0)*$K$10,IF(AND(Sheet2!$F$2="Direct",$P$8="Wall"),VLOOKUP(Q16,$W$3:$AA$9,5,0)*$K$10,IF(AND(Sheet2!$F$2="Indirect",$P$8="Wall"),VLOOKUP(Q16,$W$3:$AA$9,5,0)*$K$10))))</f>
        <v>15.82</v>
      </c>
      <c r="T16" s="12">
        <f>IF(P8="Wall",S16,IF((R16*R16+(S16*S16)/4)-(U19*U19)&gt;0,2*(SQRT((R16*R16+(S16*S16)/4)-(U19*U19))),"N/A"))</f>
        <v>15.82</v>
      </c>
      <c r="U16" s="20" t="str">
        <f>P8</f>
        <v>Wall</v>
      </c>
      <c r="V16" s="20" t="str">
        <f>Sheet2!F2</f>
        <v>Direct</v>
      </c>
      <c r="X16" s="12">
        <f>2*(SQRT((R16*R16+(S16*S16)/4)-(U19*U19)))</f>
        <v>19.596744627616086</v>
      </c>
    </row>
    <row r="17" spans="1:24" x14ac:dyDescent="0.25">
      <c r="A17" s="15"/>
      <c r="B17" s="15"/>
      <c r="C17" s="15"/>
      <c r="E17" s="16"/>
      <c r="F17" s="16"/>
      <c r="G17" s="16"/>
      <c r="H17">
        <v>299</v>
      </c>
      <c r="L17">
        <v>1.9</v>
      </c>
      <c r="M17">
        <v>1</v>
      </c>
      <c r="N17">
        <v>3.2</v>
      </c>
      <c r="O17">
        <v>1.4</v>
      </c>
      <c r="Q17" s="17" t="str">
        <f>IF(AND(Sheet2!$C$2="Red",$P$8="Ceiling"),Q5,IF(AND(Sheet2!$C$2="White",$P$8="Ceiling"),Q8,IF(AND(Sheet2!$C$2="Red",$P$8="Wall"),W5,IF(AND(Sheet2!$C$2="White",$P$8="Wall"),W8))))</f>
        <v>White / Low Output</v>
      </c>
      <c r="R17" s="18">
        <f>IF(AND(Sheet2!$F$2="Direct",$P$8="Ceiling"),VLOOKUP(Q17,Q4:U10,4,0)*$K$10,IF(AND(Sheet2!$F$2="Indirect",$P$8="Ceiling"),VLOOKUP(Q17,Q4:U10,4,0)*$K$10,IF(AND(Sheet2!$F$2="Direct",$P$8="Wall"),VLOOKUP(Q17,W4:AA10,4,0)*$K$10,IF(AND(Sheet2!$F$2="Indirect",$P$8="Wall"),VLOOKUP(Q17,W4:AA10,4,0)*$K$10))))</f>
        <v>4.1999999999999993</v>
      </c>
      <c r="S17" s="18">
        <f>IF(AND(Sheet2!$F$2="Direct",$P$8="Ceiling"),VLOOKUP(Q17,$Q$3:$U$9,5,0)*$K$10,IF(AND(Sheet2!$F$2="Indirect",$P$8="Ceiling"),VLOOKUP(Q17,$Q$3:$U$9,5,0)*$K$10,IF(AND(Sheet2!$F$2="Direct",$P$8="Wall"),VLOOKUP(Q17,$W$3:$AA$9,5,0)*$K$10,IF(AND(Sheet2!$F$2="Indirect",$P$8="Wall"),VLOOKUP(Q17,$W$3:$AA$9,5,0)*$K$10))))</f>
        <v>11.899999999999999</v>
      </c>
      <c r="T17" s="12">
        <f>IF(P8="Wall",S17,IF((R17*R17+(S17*S17)/4)-(U19*U19)&gt;0,2*(SQRT((R17*R17+(S17*S17)/4)-(U19*U19))),"N/A"))</f>
        <v>11.899999999999999</v>
      </c>
      <c r="U17" s="20" t="str">
        <f>Sheet2!C2</f>
        <v>White</v>
      </c>
      <c r="V17" s="21">
        <f>Sheet2!G2</f>
        <v>150</v>
      </c>
      <c r="X17" s="12">
        <f>2*(SQRT((R17*R17+(S17*S17)/4)-(U19*U19)))</f>
        <v>13.681008734738821</v>
      </c>
    </row>
    <row r="18" spans="1:24" ht="30" x14ac:dyDescent="0.25">
      <c r="A18" s="15">
        <v>0</v>
      </c>
      <c r="B18" s="22">
        <f>A18*0.25</f>
        <v>0</v>
      </c>
      <c r="C18" s="15"/>
      <c r="D18" s="23" t="s">
        <v>58</v>
      </c>
      <c r="E18" s="16">
        <v>1</v>
      </c>
      <c r="F18" s="16"/>
      <c r="G18" s="16" t="s">
        <v>59</v>
      </c>
      <c r="H18">
        <v>399</v>
      </c>
      <c r="L18">
        <v>1.4</v>
      </c>
      <c r="M18">
        <v>0.8</v>
      </c>
      <c r="N18">
        <v>2.2999999999999998</v>
      </c>
      <c r="O18">
        <v>1.2</v>
      </c>
      <c r="Q18" t="str">
        <f>IF(AND(Sheet2!$C$2="Red",$P$8="Ceiling"),Q12,IF(AND(Sheet2!$C$2="White",$P$8="Ceiling"),Q9,IF(AND(Sheet2!$C$2="Red",$P$8="Wall"),W12,IF(AND(Sheet2!$C$2="White",$P$8="Wall"),W9))))</f>
        <v>White / Standard</v>
      </c>
      <c r="R18" s="18">
        <f>IF(Q18="N/A","N/A",IF(AND(Sheet2!$F$2="Direct",$P$8="Ceiling"),VLOOKUP(Q18,$Q$3:$U$12,4,0)*$K$10,IF(AND(Sheet2!$F$2="Indirect",$P$8="Ceiling"),VLOOKUP(Q18,$Q$3:$U$9,4,0)*$K$10,IF(AND(Sheet2!$F$2="Direct",$P$8="Wall"),VLOOKUP(Q18,$W$3:$AA$12,4,0)*$K$10,IF(AND(Sheet2!$F$2="Indirect",$P$8="Wall"),VLOOKUP(Q18,$W$3:$AA$9,4,0)*$K$10)))))</f>
        <v>4.1999999999999993</v>
      </c>
      <c r="S18" s="24">
        <f>IF(Q18="N/A","N/A",IF(AND(Sheet2!$F$2="Direct",$P$8="Ceiling"),VLOOKUP(Q18,$Q$3:$U$12,5,0)*$K$10,IF(AND(Sheet2!$F$2="Indirect",$P$8="Ceiling"),VLOOKUP(Q18,$Q$3:$U$12,5,0)*$K$10,IF(AND(Sheet2!$F$2="Direct",$P$8="Wall"),VLOOKUP(Q18,$W$3:$AA$9,5,0)*$K$10,IF(AND(Sheet2!$F$2="Indirect",$P$8="Wall"),VLOOKUP(Q18,$W$3:$AA$9,5,0)*$K$10)))))</f>
        <v>11.899999999999999</v>
      </c>
      <c r="T18" s="25">
        <f>IF(ISNUMBER(R18),IF(P8="Wall",S18,IF((R18*R18+(S18*S18)/4)-(U19*U19)&gt;0,IF(ISNUMBER(R18),2*(SQRT((R18*R18+(S18*S18)/4)-(U19*U19))),"N/A"),"N/A")),"N/A")</f>
        <v>11.899999999999999</v>
      </c>
      <c r="U18" s="26">
        <f>Sheet2!D2</f>
        <v>2.5</v>
      </c>
      <c r="V18" s="27">
        <f>E23</f>
        <v>10</v>
      </c>
      <c r="X18" s="12">
        <f>IF(ISNUMBER(R18),2*(SQRT((R18*R18+(S18*S18)/4)-(U19*U19))),"N/A")</f>
        <v>13.681008734738821</v>
      </c>
    </row>
    <row r="19" spans="1:24" ht="30" x14ac:dyDescent="0.25">
      <c r="A19" s="15"/>
      <c r="B19" s="15"/>
      <c r="C19" s="15"/>
      <c r="D19" s="23" t="s">
        <v>61</v>
      </c>
      <c r="E19" s="16">
        <v>1</v>
      </c>
      <c r="G19" s="16">
        <v>10.5</v>
      </c>
      <c r="H19">
        <v>499</v>
      </c>
      <c r="L19">
        <v>1.1000000000000001</v>
      </c>
      <c r="M19">
        <v>0.6</v>
      </c>
      <c r="N19">
        <v>1.8</v>
      </c>
      <c r="O19">
        <v>1</v>
      </c>
      <c r="S19" t="s">
        <v>59</v>
      </c>
      <c r="U19" s="14">
        <f>U18-V19</f>
        <v>2.5</v>
      </c>
      <c r="V19" s="28">
        <f>B18</f>
        <v>0</v>
      </c>
    </row>
    <row r="20" spans="1:24" x14ac:dyDescent="0.25">
      <c r="D20" s="16" t="s">
        <v>63</v>
      </c>
      <c r="E20" s="16">
        <f>+E19*E18</f>
        <v>1</v>
      </c>
      <c r="F20" s="16"/>
      <c r="G20" s="16"/>
      <c r="H20">
        <v>599</v>
      </c>
      <c r="L20">
        <v>0.9</v>
      </c>
      <c r="M20">
        <v>0.5</v>
      </c>
      <c r="N20">
        <v>1.3</v>
      </c>
      <c r="O20">
        <v>0.9</v>
      </c>
      <c r="Q20" s="17" t="str">
        <f>Q15</f>
        <v>White / High Output</v>
      </c>
      <c r="S20" s="24">
        <f>ROUND(IF(wallorceiling="wall",S15,S15/SQRT(2)),1)</f>
        <v>17.5</v>
      </c>
      <c r="T20" s="24">
        <f>IF(ISNUMBER(T15),ROUNDUP(T15/SQRT(2),1),"Check Light")</f>
        <v>12.4</v>
      </c>
      <c r="U20" s="29"/>
      <c r="V20">
        <v>5</v>
      </c>
      <c r="W20">
        <f>+E24</f>
        <v>10</v>
      </c>
    </row>
    <row r="21" spans="1:24" ht="44.25" x14ac:dyDescent="0.25">
      <c r="D21" t="s">
        <v>65</v>
      </c>
      <c r="E21" s="12">
        <f>Spacing</f>
        <v>10</v>
      </c>
      <c r="H21">
        <v>699</v>
      </c>
      <c r="L21">
        <v>0.7</v>
      </c>
      <c r="M21">
        <v>0.4</v>
      </c>
      <c r="N21">
        <v>1</v>
      </c>
      <c r="O21">
        <v>0.7</v>
      </c>
      <c r="Q21" s="17" t="str">
        <f>Q16</f>
        <v>White / Med Output</v>
      </c>
      <c r="S21" s="24">
        <f>ROUND(IF(wallorceiling="wall",S16,S16/SQRT(2)),1)</f>
        <v>15.8</v>
      </c>
      <c r="T21" s="24">
        <f>IF(ISNUMBER(T16),ROUNDUP(T16/SQRT(2),1),"N/A")</f>
        <v>11.2</v>
      </c>
      <c r="U21" s="29"/>
      <c r="W21" s="30">
        <v>5</v>
      </c>
      <c r="X21" s="31" t="s">
        <v>67</v>
      </c>
    </row>
    <row r="22" spans="1:24" ht="30" x14ac:dyDescent="0.25">
      <c r="E22">
        <v>5</v>
      </c>
      <c r="G22" t="s">
        <v>68</v>
      </c>
      <c r="H22">
        <v>800</v>
      </c>
      <c r="L22">
        <v>0.5</v>
      </c>
      <c r="M22">
        <v>0.3</v>
      </c>
      <c r="N22">
        <v>0.7</v>
      </c>
      <c r="O22">
        <v>0.6</v>
      </c>
      <c r="Q22" s="17" t="str">
        <f>Q17</f>
        <v>White / Low Output</v>
      </c>
      <c r="S22" s="24">
        <f>ROUND(IF(wallorceiling="wall",S17,S17/SQRT(2)),1)</f>
        <v>11.9</v>
      </c>
      <c r="T22" s="24">
        <f>IF(ISNUMBER(T17),ROUNDUP(T17/SQRT(2),1),"N/A")</f>
        <v>8.5</v>
      </c>
      <c r="U22" s="29"/>
      <c r="X22" s="32" t="s">
        <v>70</v>
      </c>
    </row>
    <row r="23" spans="1:24" x14ac:dyDescent="0.25">
      <c r="D23" t="s">
        <v>71</v>
      </c>
      <c r="E23" s="12">
        <f>IF(E21&gt;E22,ROUND(E21,1),ROUND(E22,1))</f>
        <v>10</v>
      </c>
      <c r="Q23" s="17" t="str">
        <f>Q18</f>
        <v>White / Standard</v>
      </c>
      <c r="S23" s="24">
        <f>ROUND(IF(wallorceiling="wall",S18,S18/SQRT(2)),1)</f>
        <v>11.9</v>
      </c>
      <c r="T23" s="29">
        <f>IF(ISNUMBER(T18),ROUNDUP(T18/SQRT(2),1),"N/A")</f>
        <v>8.5</v>
      </c>
      <c r="U23" s="29"/>
    </row>
    <row r="24" spans="1:24" x14ac:dyDescent="0.25">
      <c r="D24" t="s">
        <v>73</v>
      </c>
      <c r="E24" s="12">
        <f>IF(E23&gt;T29,T29,E23)</f>
        <v>10</v>
      </c>
      <c r="G24">
        <v>10</v>
      </c>
      <c r="Q24" t="s">
        <v>44</v>
      </c>
      <c r="S24" s="14">
        <f>S20</f>
        <v>17.5</v>
      </c>
      <c r="T24" s="14">
        <f>IF(ISNUMBER(T20),T20,S20)</f>
        <v>12.4</v>
      </c>
    </row>
    <row r="25" spans="1:24" x14ac:dyDescent="0.25">
      <c r="Q25" t="s">
        <v>45</v>
      </c>
      <c r="S25" s="14">
        <f>S20</f>
        <v>17.5</v>
      </c>
      <c r="T25" s="14">
        <f>IF(ISNUMBER(T20),T20,S20)</f>
        <v>12.4</v>
      </c>
    </row>
    <row r="26" spans="1:24" x14ac:dyDescent="0.25">
      <c r="F26" t="s">
        <v>74</v>
      </c>
      <c r="T26" t="str">
        <f>IF(power=2,Q18,IF(AND(R17&gt;=U19,S22&gt;=V18),Q17,IF(AND(R16&gt;=U19,S21&gt;=V18),Q16,IF(AND(R15&gt;=U19,S20&gt;=V18),Q15,Q14))))</f>
        <v>White / Low Output</v>
      </c>
    </row>
    <row r="27" spans="1:24" x14ac:dyDescent="0.25">
      <c r="P27" s="33" t="s">
        <v>75</v>
      </c>
      <c r="Q27" s="34" t="str">
        <f>VLOOKUP(colourandpower,Q3:X12,8,0)</f>
        <v>Low Power</v>
      </c>
      <c r="T27" t="str">
        <f>IF(ceilingactive=1,IF(power=2,ceilingbestfit,Sheet2!C61),IF(power=2,Sheet2!H79,Sheet2!I52))</f>
        <v>White / Low Output</v>
      </c>
      <c r="V27" t="str">
        <f>IF(AND(R17&gt;=U19,S22&gt;=V20),Q17,IF(AND(R16&gt;=U19,S21&gt;=V20),Q16,IF(AND(R15&gt;=U19,S20&gt;=V20),Q15,Q14)))</f>
        <v>White / Low Output</v>
      </c>
    </row>
    <row r="28" spans="1:24" x14ac:dyDescent="0.25">
      <c r="P28">
        <f>IF(wallorceiling="wall",S15,S15/SQRT(2))</f>
        <v>17.5</v>
      </c>
      <c r="S28" t="str">
        <f>CONCATENATE(catprefix,ROUND(T28,1),"-",ROUND(U28,1))</f>
        <v>W-4.2-11.9</v>
      </c>
      <c r="T28" s="12">
        <f>IF(OR(T27="White / High Output ***",T27="Red / High Output ***"),R15,VLOOKUP(T27,Q15:S18,2,0))</f>
        <v>4.1999999999999993</v>
      </c>
      <c r="U28" s="35">
        <f>IF(OR(T27="White / High Output ***",T27="Red / High Output ***"),S15,VLOOKUP(T27,Q15:S18,3,0))</f>
        <v>11.899999999999999</v>
      </c>
      <c r="V28">
        <f>IF(OR(V27="White / High Output ***",V27="Red / High Output ***"),R15,VLOOKUP(V27,Q15:S18,2,0))</f>
        <v>4.1999999999999993</v>
      </c>
      <c r="W28" s="12">
        <f>IF(OR(V27="White / High Output ***",V27="Red / High Output ***"),S15,VLOOKUP(V27,Q15:S18,3,0))</f>
        <v>11.899999999999999</v>
      </c>
    </row>
    <row r="29" spans="1:24" x14ac:dyDescent="0.25">
      <c r="P29" s="33" t="s">
        <v>76</v>
      </c>
      <c r="Q29" s="34" t="s">
        <v>77</v>
      </c>
      <c r="S29" t="s">
        <v>78</v>
      </c>
      <c r="T29" s="36">
        <f>ROUND(VLOOKUP(T27,Q20:T25,3,0),1)</f>
        <v>11.9</v>
      </c>
      <c r="V29">
        <f>VLOOKUP(V27,Q20:T25,4,0)</f>
        <v>8.5</v>
      </c>
    </row>
    <row r="30" spans="1:24" x14ac:dyDescent="0.25">
      <c r="A30">
        <v>1</v>
      </c>
      <c r="P30" s="33" t="s">
        <v>79</v>
      </c>
      <c r="Q30" s="34" t="str">
        <f>IF(wallorceiling="Wall",VLOOKUP(colourandpower,W3:Y12,3,0),VLOOKUP(colourandpower,Q3:S12,3,0))</f>
        <v>W-3-8.5</v>
      </c>
      <c r="S30" t="str">
        <f>IF(T29&gt;=Spacing,"Spacing OK","Check Spacing")</f>
        <v>Spacing OK</v>
      </c>
    </row>
    <row r="31" spans="1:24" x14ac:dyDescent="0.25">
      <c r="Q31" t="str">
        <f>IF(VLOOKUP(selectedVAD,Q35:S75,3,0)=1,"Ceiling","Wall")</f>
        <v>Wall</v>
      </c>
      <c r="S31" t="s">
        <v>80</v>
      </c>
      <c r="T31" s="36">
        <f>ROUND(IF(OR(T27="White / High Output ***",T27="Red / High Output ***"),R15,VLOOKUP(T27,Q15:S18,2,0)),1)</f>
        <v>4.2</v>
      </c>
      <c r="V31" t="b">
        <f>IF(OR(spacingerror="check Spacing",heighterror="Check Height"),"Check Height and Spacing")</f>
        <v>0</v>
      </c>
    </row>
    <row r="32" spans="1:24" x14ac:dyDescent="0.25">
      <c r="A32" t="s">
        <v>17</v>
      </c>
      <c r="B32">
        <v>0</v>
      </c>
      <c r="P32" t="str">
        <f>CONCATENATE(selectedVAD,"  /  ",selectedVADdesc)</f>
        <v>S3-S-VAD-HPR-R  /  S3 Sndr/High Perf Red VAD/Red Body</v>
      </c>
      <c r="S32" t="str">
        <f>IF(T31&gt;=U19,"Height OK","Check Height")</f>
        <v>Height OK</v>
      </c>
    </row>
    <row r="33" spans="1:24" x14ac:dyDescent="0.25">
      <c r="A33" t="s">
        <v>23</v>
      </c>
      <c r="B33">
        <v>0</v>
      </c>
      <c r="P33" t="str">
        <f>IF(selectedVAD="not defined","Not Defined",VLOOKUP(selectedVAD,Q35:T75,4,0))</f>
        <v>S3 Sndr/High Perf Red VAD/Red Body</v>
      </c>
      <c r="Q33" s="37" t="s">
        <v>125</v>
      </c>
    </row>
    <row r="34" spans="1:24" ht="30" x14ac:dyDescent="0.25">
      <c r="A34" t="s">
        <v>27</v>
      </c>
      <c r="B34">
        <v>0</v>
      </c>
      <c r="R34" t="s">
        <v>0</v>
      </c>
      <c r="S34" t="s">
        <v>3</v>
      </c>
      <c r="U34" t="s">
        <v>38</v>
      </c>
      <c r="V34" t="s">
        <v>82</v>
      </c>
      <c r="W34" t="s">
        <v>83</v>
      </c>
      <c r="X34" s="13" t="s">
        <v>84</v>
      </c>
    </row>
    <row r="35" spans="1:24" x14ac:dyDescent="0.25">
      <c r="A35" t="s">
        <v>33</v>
      </c>
      <c r="B35">
        <v>0</v>
      </c>
      <c r="P35" s="38" t="s">
        <v>85</v>
      </c>
      <c r="Q35" s="38" t="s">
        <v>86</v>
      </c>
      <c r="R35">
        <v>1</v>
      </c>
      <c r="S35">
        <v>1</v>
      </c>
      <c r="T35" t="s">
        <v>87</v>
      </c>
      <c r="U35">
        <v>1</v>
      </c>
      <c r="V35" s="2" t="b">
        <f t="shared" ref="V35:V75" si="1">AND(IF(filtercolour=0,TRUE,R35=filtercolour),IF(filtertype=0,TRUE,S35=filtertype),IF(VADsounder=0,TRUE,W35=VADsounder),IF(VADinternal=0,TRUE,U35=VADinternal))</f>
        <v>1</v>
      </c>
      <c r="W35">
        <v>1</v>
      </c>
      <c r="X35">
        <v>1</v>
      </c>
    </row>
    <row r="36" spans="1:24" x14ac:dyDescent="0.25">
      <c r="A36" t="s">
        <v>36</v>
      </c>
      <c r="B36">
        <v>0</v>
      </c>
      <c r="P36" s="38" t="s">
        <v>88</v>
      </c>
      <c r="Q36" s="38" t="s">
        <v>89</v>
      </c>
      <c r="R36">
        <v>1</v>
      </c>
      <c r="S36">
        <v>1</v>
      </c>
      <c r="T36" t="s">
        <v>90</v>
      </c>
      <c r="U36">
        <v>1</v>
      </c>
      <c r="V36" s="2" t="b">
        <f t="shared" si="1"/>
        <v>1</v>
      </c>
      <c r="W36">
        <v>2</v>
      </c>
      <c r="X36">
        <v>1</v>
      </c>
    </row>
    <row r="37" spans="1:24" x14ac:dyDescent="0.25">
      <c r="A37" t="s">
        <v>39</v>
      </c>
      <c r="B37">
        <v>1</v>
      </c>
      <c r="P37" s="38" t="s">
        <v>91</v>
      </c>
      <c r="Q37" s="38" t="s">
        <v>92</v>
      </c>
      <c r="R37">
        <v>1</v>
      </c>
      <c r="S37">
        <v>1</v>
      </c>
      <c r="T37" t="s">
        <v>93</v>
      </c>
      <c r="U37">
        <v>1</v>
      </c>
      <c r="V37" s="2" t="b">
        <f t="shared" si="1"/>
        <v>1</v>
      </c>
      <c r="W37">
        <v>2</v>
      </c>
      <c r="X37">
        <v>1</v>
      </c>
    </row>
    <row r="38" spans="1:24" x14ac:dyDescent="0.25">
      <c r="A38" t="s">
        <v>42</v>
      </c>
      <c r="B38">
        <v>0</v>
      </c>
      <c r="P38" s="38" t="s">
        <v>94</v>
      </c>
      <c r="Q38" s="38" t="s">
        <v>95</v>
      </c>
      <c r="R38">
        <v>1</v>
      </c>
      <c r="S38">
        <v>1</v>
      </c>
      <c r="T38" t="s">
        <v>94</v>
      </c>
      <c r="U38">
        <v>1</v>
      </c>
      <c r="V38" s="2" t="b">
        <f t="shared" si="1"/>
        <v>1</v>
      </c>
      <c r="W38">
        <v>2</v>
      </c>
      <c r="X38">
        <v>1</v>
      </c>
    </row>
    <row r="39" spans="1:24" ht="15" customHeight="1" x14ac:dyDescent="0.25">
      <c r="P39" s="38" t="s">
        <v>96</v>
      </c>
      <c r="Q39" s="38" t="s">
        <v>97</v>
      </c>
      <c r="R39">
        <v>2</v>
      </c>
      <c r="S39">
        <v>1</v>
      </c>
      <c r="T39" t="s">
        <v>96</v>
      </c>
      <c r="U39">
        <v>1</v>
      </c>
      <c r="V39" s="2" t="b">
        <f t="shared" si="1"/>
        <v>1</v>
      </c>
      <c r="W39">
        <v>1</v>
      </c>
      <c r="X39">
        <v>1</v>
      </c>
    </row>
    <row r="40" spans="1:24" ht="15" customHeight="1" x14ac:dyDescent="0.25">
      <c r="P40" s="38" t="s">
        <v>98</v>
      </c>
      <c r="Q40" s="38" t="s">
        <v>99</v>
      </c>
      <c r="R40">
        <v>2</v>
      </c>
      <c r="S40">
        <v>1</v>
      </c>
      <c r="T40" t="s">
        <v>98</v>
      </c>
      <c r="U40">
        <v>1</v>
      </c>
      <c r="V40" s="2" t="b">
        <f t="shared" si="1"/>
        <v>1</v>
      </c>
      <c r="W40">
        <v>2</v>
      </c>
      <c r="X40">
        <v>1</v>
      </c>
    </row>
    <row r="41" spans="1:24" ht="15" customHeight="1" x14ac:dyDescent="0.25">
      <c r="P41" s="38" t="s">
        <v>100</v>
      </c>
      <c r="Q41" s="38" t="s">
        <v>101</v>
      </c>
      <c r="R41">
        <v>2</v>
      </c>
      <c r="S41">
        <v>1</v>
      </c>
      <c r="T41" t="s">
        <v>100</v>
      </c>
      <c r="U41">
        <v>1</v>
      </c>
      <c r="V41" s="2" t="b">
        <f t="shared" si="1"/>
        <v>1</v>
      </c>
      <c r="W41">
        <v>2</v>
      </c>
      <c r="X41">
        <v>1</v>
      </c>
    </row>
    <row r="42" spans="1:24" ht="15" customHeight="1" x14ac:dyDescent="0.25">
      <c r="A42" t="s">
        <v>102</v>
      </c>
      <c r="B42" s="39">
        <v>3</v>
      </c>
      <c r="P42" s="38" t="s">
        <v>103</v>
      </c>
      <c r="Q42" s="38" t="s">
        <v>104</v>
      </c>
      <c r="R42">
        <v>2</v>
      </c>
      <c r="S42">
        <v>1</v>
      </c>
      <c r="T42" t="s">
        <v>103</v>
      </c>
      <c r="U42">
        <v>1</v>
      </c>
      <c r="V42" s="2" t="b">
        <f t="shared" si="1"/>
        <v>1</v>
      </c>
      <c r="W42">
        <v>2</v>
      </c>
      <c r="X42">
        <v>1</v>
      </c>
    </row>
    <row r="43" spans="1:24" x14ac:dyDescent="0.25">
      <c r="P43" s="40" t="s">
        <v>105</v>
      </c>
      <c r="Q43" s="40" t="s">
        <v>106</v>
      </c>
      <c r="R43">
        <v>1</v>
      </c>
      <c r="S43">
        <v>1</v>
      </c>
      <c r="T43" t="s">
        <v>107</v>
      </c>
      <c r="U43">
        <v>1</v>
      </c>
      <c r="V43" s="2" t="b">
        <f t="shared" si="1"/>
        <v>1</v>
      </c>
      <c r="W43">
        <v>1</v>
      </c>
      <c r="X43">
        <v>2</v>
      </c>
    </row>
    <row r="44" spans="1:24" ht="15" customHeight="1" x14ac:dyDescent="0.25">
      <c r="P44" s="40" t="s">
        <v>108</v>
      </c>
      <c r="Q44" s="40" t="s">
        <v>81</v>
      </c>
      <c r="R44">
        <v>2</v>
      </c>
      <c r="S44">
        <v>1</v>
      </c>
      <c r="T44" t="s">
        <v>109</v>
      </c>
      <c r="U44">
        <v>1</v>
      </c>
      <c r="V44" s="2" t="b">
        <f t="shared" si="1"/>
        <v>1</v>
      </c>
      <c r="W44">
        <v>2</v>
      </c>
      <c r="X44">
        <v>2</v>
      </c>
    </row>
    <row r="45" spans="1:24" ht="15" customHeight="1" x14ac:dyDescent="0.25">
      <c r="P45" s="37" t="s">
        <v>110</v>
      </c>
      <c r="Q45" s="37" t="s">
        <v>111</v>
      </c>
      <c r="R45">
        <v>0</v>
      </c>
      <c r="S45">
        <v>3</v>
      </c>
      <c r="T45" t="s">
        <v>110</v>
      </c>
      <c r="U45">
        <v>1</v>
      </c>
      <c r="V45" s="2" t="b">
        <f t="shared" si="1"/>
        <v>1</v>
      </c>
    </row>
    <row r="46" spans="1:24" ht="15" customHeight="1" x14ac:dyDescent="0.25">
      <c r="P46" s="37" t="s">
        <v>112</v>
      </c>
      <c r="Q46" s="37" t="s">
        <v>113</v>
      </c>
      <c r="R46">
        <v>0</v>
      </c>
      <c r="S46">
        <v>3</v>
      </c>
      <c r="T46" t="s">
        <v>112</v>
      </c>
      <c r="U46">
        <v>1</v>
      </c>
      <c r="V46" s="2" t="b">
        <f t="shared" si="1"/>
        <v>1</v>
      </c>
    </row>
    <row r="47" spans="1:24" ht="15" customHeight="1" x14ac:dyDescent="0.25">
      <c r="P47" s="37" t="s">
        <v>114</v>
      </c>
      <c r="Q47" s="37" t="s">
        <v>115</v>
      </c>
      <c r="R47">
        <v>0</v>
      </c>
      <c r="S47">
        <v>3</v>
      </c>
      <c r="T47" t="s">
        <v>114</v>
      </c>
      <c r="U47">
        <v>1</v>
      </c>
      <c r="V47" s="2" t="b">
        <f t="shared" si="1"/>
        <v>1</v>
      </c>
    </row>
    <row r="48" spans="1:24" ht="15" customHeight="1" x14ac:dyDescent="0.25">
      <c r="P48" s="37" t="s">
        <v>116</v>
      </c>
      <c r="Q48" s="37" t="s">
        <v>117</v>
      </c>
      <c r="R48">
        <v>0</v>
      </c>
      <c r="S48">
        <v>3</v>
      </c>
      <c r="T48" t="s">
        <v>116</v>
      </c>
      <c r="U48">
        <v>1</v>
      </c>
      <c r="V48" s="2" t="b">
        <f t="shared" si="1"/>
        <v>1</v>
      </c>
    </row>
    <row r="49" spans="16:24" ht="15" customHeight="1" x14ac:dyDescent="0.25">
      <c r="P49" s="37" t="s">
        <v>118</v>
      </c>
      <c r="Q49" s="37" t="s">
        <v>119</v>
      </c>
      <c r="R49">
        <v>2</v>
      </c>
      <c r="S49">
        <v>2</v>
      </c>
      <c r="T49" t="s">
        <v>118</v>
      </c>
      <c r="U49">
        <v>1</v>
      </c>
      <c r="V49" s="2" t="b">
        <f t="shared" si="1"/>
        <v>1</v>
      </c>
      <c r="W49">
        <v>1</v>
      </c>
      <c r="X49">
        <v>1</v>
      </c>
    </row>
    <row r="50" spans="16:24" ht="15" customHeight="1" x14ac:dyDescent="0.25">
      <c r="P50" s="37" t="s">
        <v>120</v>
      </c>
      <c r="Q50" s="37" t="s">
        <v>121</v>
      </c>
      <c r="R50">
        <v>1</v>
      </c>
      <c r="S50">
        <v>2</v>
      </c>
      <c r="T50" t="s">
        <v>120</v>
      </c>
      <c r="U50">
        <v>1</v>
      </c>
      <c r="V50" s="2" t="b">
        <f t="shared" si="1"/>
        <v>1</v>
      </c>
      <c r="W50">
        <v>1</v>
      </c>
      <c r="X50">
        <v>1</v>
      </c>
    </row>
    <row r="51" spans="16:24" ht="15" customHeight="1" x14ac:dyDescent="0.25">
      <c r="P51" s="37" t="s">
        <v>122</v>
      </c>
      <c r="Q51" s="37" t="s">
        <v>123</v>
      </c>
      <c r="R51">
        <v>2</v>
      </c>
      <c r="S51">
        <v>2</v>
      </c>
      <c r="T51" t="s">
        <v>122</v>
      </c>
      <c r="U51">
        <v>1</v>
      </c>
      <c r="V51" s="2" t="b">
        <f t="shared" si="1"/>
        <v>1</v>
      </c>
      <c r="W51">
        <v>3</v>
      </c>
      <c r="X51">
        <v>1</v>
      </c>
    </row>
    <row r="52" spans="16:24" ht="15" customHeight="1" x14ac:dyDescent="0.25">
      <c r="P52" s="37" t="s">
        <v>124</v>
      </c>
      <c r="Q52" s="37" t="s">
        <v>125</v>
      </c>
      <c r="R52">
        <v>1</v>
      </c>
      <c r="S52">
        <v>2</v>
      </c>
      <c r="T52" t="s">
        <v>124</v>
      </c>
      <c r="U52">
        <v>1</v>
      </c>
      <c r="V52" s="2" t="b">
        <f t="shared" si="1"/>
        <v>1</v>
      </c>
      <c r="W52">
        <v>3</v>
      </c>
      <c r="X52">
        <v>1</v>
      </c>
    </row>
    <row r="53" spans="16:24" ht="15" customHeight="1" x14ac:dyDescent="0.25">
      <c r="P53" s="37" t="s">
        <v>126</v>
      </c>
      <c r="Q53" s="37" t="s">
        <v>127</v>
      </c>
      <c r="R53">
        <v>2</v>
      </c>
      <c r="S53">
        <v>2</v>
      </c>
      <c r="T53" t="s">
        <v>126</v>
      </c>
      <c r="U53">
        <v>1</v>
      </c>
      <c r="V53" s="2" t="b">
        <f t="shared" si="1"/>
        <v>1</v>
      </c>
      <c r="W53">
        <v>3</v>
      </c>
      <c r="X53">
        <v>1</v>
      </c>
    </row>
    <row r="54" spans="16:24" ht="15" customHeight="1" x14ac:dyDescent="0.25">
      <c r="P54" s="37" t="s">
        <v>128</v>
      </c>
      <c r="Q54" s="37" t="s">
        <v>129</v>
      </c>
      <c r="R54">
        <v>1</v>
      </c>
      <c r="S54">
        <v>2</v>
      </c>
      <c r="T54" t="s">
        <v>128</v>
      </c>
      <c r="U54">
        <v>1</v>
      </c>
      <c r="V54" s="2" t="b">
        <f t="shared" si="1"/>
        <v>1</v>
      </c>
      <c r="W54">
        <v>3</v>
      </c>
      <c r="X54">
        <v>1</v>
      </c>
    </row>
    <row r="55" spans="16:24" ht="15" customHeight="1" x14ac:dyDescent="0.25">
      <c r="P55" s="37" t="s">
        <v>130</v>
      </c>
      <c r="Q55" s="37" t="s">
        <v>131</v>
      </c>
      <c r="R55">
        <v>2</v>
      </c>
      <c r="S55">
        <v>2</v>
      </c>
      <c r="T55" t="s">
        <v>130</v>
      </c>
      <c r="U55">
        <v>1</v>
      </c>
      <c r="V55" s="2" t="b">
        <f t="shared" si="1"/>
        <v>1</v>
      </c>
      <c r="W55">
        <v>2</v>
      </c>
      <c r="X55">
        <v>1</v>
      </c>
    </row>
    <row r="56" spans="16:24" ht="15" customHeight="1" x14ac:dyDescent="0.25">
      <c r="P56" s="37" t="s">
        <v>132</v>
      </c>
      <c r="Q56" s="37" t="s">
        <v>133</v>
      </c>
      <c r="R56">
        <v>1</v>
      </c>
      <c r="S56">
        <v>2</v>
      </c>
      <c r="T56" t="s">
        <v>132</v>
      </c>
      <c r="U56">
        <v>1</v>
      </c>
      <c r="V56" s="2" t="b">
        <f t="shared" si="1"/>
        <v>1</v>
      </c>
      <c r="W56">
        <v>2</v>
      </c>
      <c r="X56">
        <v>1</v>
      </c>
    </row>
    <row r="57" spans="16:24" ht="15" customHeight="1" x14ac:dyDescent="0.25">
      <c r="P57" s="37" t="s">
        <v>134</v>
      </c>
      <c r="Q57" s="37" t="s">
        <v>135</v>
      </c>
      <c r="R57">
        <v>0</v>
      </c>
      <c r="S57">
        <v>2</v>
      </c>
      <c r="T57" t="s">
        <v>134</v>
      </c>
      <c r="U57">
        <v>1</v>
      </c>
      <c r="V57" s="2" t="b">
        <f t="shared" si="1"/>
        <v>1</v>
      </c>
    </row>
    <row r="58" spans="16:24" ht="15" customHeight="1" x14ac:dyDescent="0.25">
      <c r="P58" s="37" t="s">
        <v>136</v>
      </c>
      <c r="Q58" s="37" t="s">
        <v>137</v>
      </c>
      <c r="R58">
        <v>2</v>
      </c>
      <c r="S58">
        <v>2</v>
      </c>
      <c r="T58" t="s">
        <v>136</v>
      </c>
      <c r="U58">
        <v>2</v>
      </c>
      <c r="V58" s="2" t="b">
        <f t="shared" si="1"/>
        <v>1</v>
      </c>
      <c r="W58">
        <v>1</v>
      </c>
      <c r="X58">
        <v>1</v>
      </c>
    </row>
    <row r="59" spans="16:24" ht="15" customHeight="1" x14ac:dyDescent="0.25">
      <c r="P59" s="37" t="s">
        <v>138</v>
      </c>
      <c r="Q59" s="37" t="s">
        <v>139</v>
      </c>
      <c r="R59">
        <v>1</v>
      </c>
      <c r="S59">
        <v>2</v>
      </c>
      <c r="T59" t="s">
        <v>138</v>
      </c>
      <c r="U59">
        <v>2</v>
      </c>
      <c r="V59" s="2" t="b">
        <f t="shared" si="1"/>
        <v>1</v>
      </c>
      <c r="W59">
        <v>1</v>
      </c>
      <c r="X59">
        <v>1</v>
      </c>
    </row>
    <row r="60" spans="16:24" ht="15" customHeight="1" x14ac:dyDescent="0.25">
      <c r="P60" s="37" t="s">
        <v>140</v>
      </c>
      <c r="Q60" s="37" t="s">
        <v>141</v>
      </c>
      <c r="R60">
        <v>2</v>
      </c>
      <c r="S60">
        <v>2</v>
      </c>
      <c r="T60" t="s">
        <v>140</v>
      </c>
      <c r="U60">
        <v>2</v>
      </c>
      <c r="V60" s="2" t="b">
        <f t="shared" si="1"/>
        <v>1</v>
      </c>
      <c r="W60">
        <v>2</v>
      </c>
      <c r="X60">
        <v>1</v>
      </c>
    </row>
    <row r="61" spans="16:24" ht="15" customHeight="1" x14ac:dyDescent="0.25">
      <c r="P61" s="37" t="s">
        <v>142</v>
      </c>
      <c r="Q61" s="37" t="s">
        <v>143</v>
      </c>
      <c r="R61">
        <v>1</v>
      </c>
      <c r="S61">
        <v>2</v>
      </c>
      <c r="T61" t="s">
        <v>142</v>
      </c>
      <c r="U61">
        <v>2</v>
      </c>
      <c r="V61" s="2" t="b">
        <f t="shared" si="1"/>
        <v>1</v>
      </c>
      <c r="W61">
        <v>2</v>
      </c>
      <c r="X61">
        <v>1</v>
      </c>
    </row>
    <row r="62" spans="16:24" ht="15" customHeight="1" x14ac:dyDescent="0.25">
      <c r="P62" s="41" t="s">
        <v>144</v>
      </c>
      <c r="Q62" s="41" t="s">
        <v>145</v>
      </c>
      <c r="R62">
        <v>0</v>
      </c>
      <c r="S62">
        <v>2</v>
      </c>
      <c r="T62" t="s">
        <v>144</v>
      </c>
      <c r="U62">
        <v>1</v>
      </c>
      <c r="V62" s="2" t="b">
        <f t="shared" si="1"/>
        <v>1</v>
      </c>
    </row>
    <row r="63" spans="16:24" ht="15" customHeight="1" x14ac:dyDescent="0.25">
      <c r="P63" s="37" t="s">
        <v>146</v>
      </c>
      <c r="Q63" s="37" t="s">
        <v>147</v>
      </c>
      <c r="R63">
        <v>2</v>
      </c>
      <c r="S63">
        <v>2</v>
      </c>
      <c r="T63" t="s">
        <v>146</v>
      </c>
      <c r="U63">
        <v>1</v>
      </c>
      <c r="V63" s="2" t="b">
        <f t="shared" si="1"/>
        <v>1</v>
      </c>
      <c r="W63">
        <v>1</v>
      </c>
      <c r="X63">
        <v>1</v>
      </c>
    </row>
    <row r="64" spans="16:24" ht="15" customHeight="1" x14ac:dyDescent="0.25">
      <c r="P64" s="37" t="s">
        <v>148</v>
      </c>
      <c r="Q64" s="37" t="s">
        <v>149</v>
      </c>
      <c r="R64">
        <v>1</v>
      </c>
      <c r="S64">
        <v>2</v>
      </c>
      <c r="T64" t="s">
        <v>148</v>
      </c>
      <c r="U64">
        <v>1</v>
      </c>
      <c r="V64" s="2" t="b">
        <f t="shared" si="1"/>
        <v>1</v>
      </c>
      <c r="W64">
        <v>1</v>
      </c>
      <c r="X64">
        <v>1</v>
      </c>
    </row>
    <row r="65" spans="16:24" ht="15" customHeight="1" x14ac:dyDescent="0.25">
      <c r="P65" s="37" t="s">
        <v>150</v>
      </c>
      <c r="Q65" s="37" t="s">
        <v>151</v>
      </c>
      <c r="R65">
        <v>2</v>
      </c>
      <c r="S65">
        <v>2</v>
      </c>
      <c r="T65" t="s">
        <v>150</v>
      </c>
      <c r="U65">
        <v>1</v>
      </c>
      <c r="V65" s="2" t="b">
        <f t="shared" si="1"/>
        <v>1</v>
      </c>
      <c r="W65">
        <v>3</v>
      </c>
      <c r="X65">
        <v>1</v>
      </c>
    </row>
    <row r="66" spans="16:24" ht="15" customHeight="1" x14ac:dyDescent="0.25">
      <c r="P66" s="37" t="s">
        <v>152</v>
      </c>
      <c r="Q66" s="37" t="s">
        <v>153</v>
      </c>
      <c r="R66">
        <v>1</v>
      </c>
      <c r="S66">
        <v>2</v>
      </c>
      <c r="T66" t="s">
        <v>152</v>
      </c>
      <c r="U66">
        <v>1</v>
      </c>
      <c r="V66" s="2" t="b">
        <f t="shared" si="1"/>
        <v>1</v>
      </c>
      <c r="W66">
        <v>3</v>
      </c>
      <c r="X66">
        <v>1</v>
      </c>
    </row>
    <row r="67" spans="16:24" ht="15" customHeight="1" x14ac:dyDescent="0.25">
      <c r="P67" s="37" t="s">
        <v>154</v>
      </c>
      <c r="Q67" s="37" t="s">
        <v>155</v>
      </c>
      <c r="R67">
        <v>0</v>
      </c>
      <c r="S67">
        <v>2</v>
      </c>
      <c r="T67" t="s">
        <v>154</v>
      </c>
      <c r="U67">
        <v>2</v>
      </c>
      <c r="V67" s="2" t="b">
        <f t="shared" si="1"/>
        <v>1</v>
      </c>
      <c r="W67">
        <v>3</v>
      </c>
      <c r="X67">
        <v>1</v>
      </c>
    </row>
    <row r="68" spans="16:24" ht="15" customHeight="1" x14ac:dyDescent="0.25">
      <c r="P68" s="37" t="s">
        <v>156</v>
      </c>
      <c r="Q68" s="37" t="s">
        <v>157</v>
      </c>
      <c r="R68">
        <v>2</v>
      </c>
      <c r="S68">
        <v>2</v>
      </c>
      <c r="T68" t="s">
        <v>156</v>
      </c>
      <c r="U68">
        <v>2</v>
      </c>
      <c r="V68" s="2" t="b">
        <f t="shared" si="1"/>
        <v>1</v>
      </c>
      <c r="W68">
        <v>3</v>
      </c>
      <c r="X68">
        <v>1</v>
      </c>
    </row>
    <row r="69" spans="16:24" ht="15" customHeight="1" x14ac:dyDescent="0.25">
      <c r="P69" s="37" t="s">
        <v>158</v>
      </c>
      <c r="Q69" s="37" t="s">
        <v>159</v>
      </c>
      <c r="R69">
        <v>1</v>
      </c>
      <c r="S69">
        <v>2</v>
      </c>
      <c r="T69" t="s">
        <v>158</v>
      </c>
      <c r="U69">
        <v>2</v>
      </c>
      <c r="V69" s="2" t="b">
        <f t="shared" si="1"/>
        <v>1</v>
      </c>
      <c r="W69">
        <v>3</v>
      </c>
      <c r="X69">
        <v>1</v>
      </c>
    </row>
    <row r="70" spans="16:24" ht="15" customHeight="1" x14ac:dyDescent="0.25">
      <c r="P70" s="37" t="s">
        <v>160</v>
      </c>
      <c r="Q70" s="37" t="s">
        <v>161</v>
      </c>
      <c r="R70">
        <v>2</v>
      </c>
      <c r="S70">
        <v>2</v>
      </c>
      <c r="T70" s="37" t="s">
        <v>160</v>
      </c>
      <c r="U70">
        <v>1</v>
      </c>
      <c r="V70" s="2" t="b">
        <f t="shared" si="1"/>
        <v>1</v>
      </c>
      <c r="W70">
        <v>3</v>
      </c>
      <c r="X70">
        <v>2</v>
      </c>
    </row>
    <row r="71" spans="16:24" ht="15" customHeight="1" x14ac:dyDescent="0.25">
      <c r="P71" s="37" t="s">
        <v>162</v>
      </c>
      <c r="Q71" s="37" t="s">
        <v>163</v>
      </c>
      <c r="R71">
        <v>1</v>
      </c>
      <c r="S71">
        <v>2</v>
      </c>
      <c r="T71" s="37" t="s">
        <v>162</v>
      </c>
      <c r="U71">
        <v>1</v>
      </c>
      <c r="V71" s="2" t="b">
        <f t="shared" si="1"/>
        <v>1</v>
      </c>
      <c r="W71">
        <v>3</v>
      </c>
      <c r="X71">
        <v>2</v>
      </c>
    </row>
    <row r="72" spans="16:24" ht="15" customHeight="1" x14ac:dyDescent="0.25">
      <c r="Q72" s="42" t="s">
        <v>164</v>
      </c>
      <c r="R72">
        <v>2</v>
      </c>
      <c r="S72">
        <v>1</v>
      </c>
      <c r="U72">
        <v>1</v>
      </c>
      <c r="V72" s="2" t="b">
        <f t="shared" si="1"/>
        <v>1</v>
      </c>
      <c r="W72">
        <v>3</v>
      </c>
      <c r="X72">
        <v>1</v>
      </c>
    </row>
    <row r="73" spans="16:24" ht="15" customHeight="1" x14ac:dyDescent="0.25">
      <c r="Q73" s="42" t="s">
        <v>165</v>
      </c>
      <c r="R73">
        <v>2</v>
      </c>
      <c r="S73">
        <v>1</v>
      </c>
      <c r="U73">
        <v>1</v>
      </c>
      <c r="V73" s="2" t="b">
        <f t="shared" si="1"/>
        <v>1</v>
      </c>
      <c r="W73">
        <v>3</v>
      </c>
      <c r="X73">
        <v>1</v>
      </c>
    </row>
    <row r="74" spans="16:24" x14ac:dyDescent="0.25">
      <c r="Q74" s="42" t="s">
        <v>166</v>
      </c>
      <c r="R74">
        <v>1</v>
      </c>
      <c r="S74">
        <v>1</v>
      </c>
      <c r="U74">
        <v>1</v>
      </c>
      <c r="V74" s="2" t="b">
        <f t="shared" si="1"/>
        <v>1</v>
      </c>
      <c r="W74">
        <v>3</v>
      </c>
      <c r="X74">
        <v>1</v>
      </c>
    </row>
    <row r="75" spans="16:24" x14ac:dyDescent="0.25">
      <c r="Q75" s="42" t="s">
        <v>167</v>
      </c>
      <c r="R75">
        <v>1</v>
      </c>
      <c r="S75">
        <v>1</v>
      </c>
      <c r="U75">
        <v>1</v>
      </c>
      <c r="V75" s="2" t="b">
        <f t="shared" si="1"/>
        <v>1</v>
      </c>
      <c r="W75">
        <v>3</v>
      </c>
      <c r="X75">
        <v>1</v>
      </c>
    </row>
    <row r="85" spans="15:19" x14ac:dyDescent="0.25">
      <c r="P85" t="s">
        <v>257</v>
      </c>
    </row>
    <row r="86" spans="15:19" x14ac:dyDescent="0.25">
      <c r="O86">
        <v>1</v>
      </c>
      <c r="P86" s="38" t="s">
        <v>85</v>
      </c>
      <c r="Q86" s="38" t="s">
        <v>86</v>
      </c>
      <c r="S86" t="str">
        <f>CONCATENATE(Q86," (",P86,")")</f>
        <v>S4-711-VAD-HPR (O2H Sensor  - Red VAD)</v>
      </c>
    </row>
    <row r="87" spans="15:19" x14ac:dyDescent="0.25">
      <c r="O87">
        <v>2</v>
      </c>
      <c r="P87" s="38" t="s">
        <v>88</v>
      </c>
      <c r="Q87" s="38" t="s">
        <v>89</v>
      </c>
      <c r="S87" t="str">
        <f>CONCATENATE(Q87," (",P87,")")</f>
        <v>S4-711-V-VAD-HPR (O2H Voice Sensor Sounder  - Red VAD)</v>
      </c>
    </row>
    <row r="88" spans="15:19" x14ac:dyDescent="0.25">
      <c r="O88">
        <v>3</v>
      </c>
      <c r="P88" s="38" t="s">
        <v>91</v>
      </c>
      <c r="Q88" s="38" t="s">
        <v>92</v>
      </c>
      <c r="S88" t="str">
        <f>CONCATENATE(Q88," (",P88,")")</f>
        <v>S4-911-V-VAD-HPR (O2HCO Voice Sensor Sounder  - Red VAD)</v>
      </c>
    </row>
    <row r="89" spans="15:19" x14ac:dyDescent="0.25">
      <c r="O89">
        <v>4</v>
      </c>
      <c r="P89" s="38" t="s">
        <v>94</v>
      </c>
      <c r="Q89" s="38" t="s">
        <v>95</v>
      </c>
      <c r="S89" t="str">
        <f>CONCATENATE(Q89," (",P89,")")</f>
        <v>S4-720-V-VAD-HPR (HEAT Voice Sensor Sounder  - Red VAD)</v>
      </c>
    </row>
    <row r="90" spans="15:19" x14ac:dyDescent="0.25">
      <c r="O90">
        <v>5</v>
      </c>
      <c r="P90" s="40" t="s">
        <v>262</v>
      </c>
      <c r="Q90" s="40" t="s">
        <v>106</v>
      </c>
      <c r="S90" t="str">
        <f>CONCATENATE(Q90," (",P90,")")</f>
        <v>S4-711-V-VAD-LPR (O2H Voice Sensor Sounder - Red VAD (LPR))</v>
      </c>
    </row>
    <row r="93" spans="15:19" x14ac:dyDescent="0.25">
      <c r="P93" t="s">
        <v>258</v>
      </c>
    </row>
    <row r="94" spans="15:19" x14ac:dyDescent="0.25">
      <c r="P94" s="38" t="s">
        <v>85</v>
      </c>
      <c r="Q94" s="38" t="s">
        <v>86</v>
      </c>
      <c r="S94" t="str">
        <f>CONCATENATE(Q94," (",P94,")")</f>
        <v>S4-711-VAD-HPR (O2H Sensor  - Red VAD)</v>
      </c>
    </row>
    <row r="95" spans="15:19" x14ac:dyDescent="0.25">
      <c r="P95" s="38" t="s">
        <v>88</v>
      </c>
      <c r="Q95" s="38" t="s">
        <v>89</v>
      </c>
      <c r="S95" t="str">
        <f>CONCATENATE(Q95," (",P95,")")</f>
        <v>S4-711-V-VAD-HPR (O2H Voice Sensor Sounder  - Red VAD)</v>
      </c>
    </row>
    <row r="96" spans="15:19" x14ac:dyDescent="0.25">
      <c r="P96" s="38" t="s">
        <v>91</v>
      </c>
      <c r="Q96" s="38" t="s">
        <v>92</v>
      </c>
      <c r="S96" t="str">
        <f>CONCATENATE(Q96," (",P96,")")</f>
        <v>S4-911-V-VAD-HPR (O2HCO Voice Sensor Sounder  - Red VAD)</v>
      </c>
    </row>
    <row r="97" spans="16:19" x14ac:dyDescent="0.25">
      <c r="P97" s="38" t="s">
        <v>94</v>
      </c>
      <c r="Q97" s="38" t="s">
        <v>95</v>
      </c>
      <c r="S97" t="str">
        <f>CONCATENATE(Q97," (",P97,")")</f>
        <v>S4-720-V-VAD-HPR (HEAT Voice Sensor Sounder  - Red VAD)</v>
      </c>
    </row>
    <row r="101" spans="16:19" x14ac:dyDescent="0.25">
      <c r="P101" s="38" t="s">
        <v>96</v>
      </c>
      <c r="Q101" s="38" t="s">
        <v>97</v>
      </c>
      <c r="S101" t="str">
        <f>CONCATENATE(Q101," (",P101,")")</f>
        <v>S4-711-VAD-HPW (O2H Sensor  - White VAD )</v>
      </c>
    </row>
    <row r="102" spans="16:19" x14ac:dyDescent="0.25">
      <c r="P102" s="38" t="s">
        <v>98</v>
      </c>
      <c r="Q102" s="38" t="s">
        <v>99</v>
      </c>
      <c r="S102" t="str">
        <f>CONCATENATE(Q102," (",P102,")")</f>
        <v>S4-711-V-VAD-HPW (O2H Voice Sensor Sounder  - White VAD )</v>
      </c>
    </row>
    <row r="103" spans="16:19" x14ac:dyDescent="0.25">
      <c r="P103" s="38" t="s">
        <v>100</v>
      </c>
      <c r="Q103" s="38" t="s">
        <v>101</v>
      </c>
      <c r="S103" t="str">
        <f>CONCATENATE(Q103," (",P103,")")</f>
        <v>S4-911-V-VAD-HPW (O2HCO Voice Sensor Sndr  - White VAD )</v>
      </c>
    </row>
    <row r="104" spans="16:19" x14ac:dyDescent="0.25">
      <c r="P104" s="38" t="s">
        <v>103</v>
      </c>
      <c r="Q104" s="38" t="s">
        <v>104</v>
      </c>
      <c r="S104" t="str">
        <f>CONCATENATE(Q104," (",P104,")")</f>
        <v>S4-720-V-VAD-HPW (Heat Voice Sensor Sounder  - White VAD )</v>
      </c>
    </row>
    <row r="105" spans="16:19" x14ac:dyDescent="0.25">
      <c r="P105" s="40" t="s">
        <v>261</v>
      </c>
      <c r="Q105" s="40" t="s">
        <v>81</v>
      </c>
      <c r="S105" t="str">
        <f>CONCATENATE(Q105," (",P105,")")</f>
        <v>S4-711-V-VAD-LPW (O2H Voice Sensor Sounder - White VAD (LPW))</v>
      </c>
    </row>
    <row r="106" spans="16:19" x14ac:dyDescent="0.25">
      <c r="P106" s="91"/>
      <c r="Q106" s="91"/>
    </row>
    <row r="107" spans="16:19" x14ac:dyDescent="0.25">
      <c r="P107" s="91"/>
      <c r="Q107" s="91"/>
    </row>
    <row r="108" spans="16:19" x14ac:dyDescent="0.25">
      <c r="P108" s="91"/>
      <c r="Q108" s="91"/>
    </row>
    <row r="110" spans="16:19" x14ac:dyDescent="0.25">
      <c r="P110" s="38" t="s">
        <v>96</v>
      </c>
      <c r="Q110" s="38" t="s">
        <v>97</v>
      </c>
      <c r="S110" t="str">
        <f>CONCATENATE(Q110," (",P110,")")</f>
        <v>S4-711-VAD-HPW (O2H Sensor  - White VAD )</v>
      </c>
    </row>
    <row r="111" spans="16:19" x14ac:dyDescent="0.25">
      <c r="P111" s="38" t="s">
        <v>98</v>
      </c>
      <c r="Q111" s="38" t="s">
        <v>99</v>
      </c>
      <c r="S111" t="str">
        <f>CONCATENATE(Q111," (",P111,")")</f>
        <v>S4-711-V-VAD-HPW (O2H Voice Sensor Sounder  - White VAD )</v>
      </c>
    </row>
    <row r="112" spans="16:19" x14ac:dyDescent="0.25">
      <c r="P112" s="38" t="s">
        <v>100</v>
      </c>
      <c r="Q112" s="38" t="s">
        <v>101</v>
      </c>
      <c r="S112" t="str">
        <f>CONCATENATE(Q112," (",P112,")")</f>
        <v>S4-911-V-VAD-HPW (O2HCO Voice Sensor Sndr  - White VAD )</v>
      </c>
    </row>
    <row r="113" spans="16:19" x14ac:dyDescent="0.25">
      <c r="P113" s="38" t="s">
        <v>103</v>
      </c>
      <c r="Q113" s="38" t="s">
        <v>104</v>
      </c>
      <c r="S113" t="str">
        <f>CONCATENATE(Q113," (",P113,")")</f>
        <v>S4-720-V-VAD-HPW (Heat Voice Sensor Sounder  - White VAD )</v>
      </c>
    </row>
    <row r="117" spans="16:19" x14ac:dyDescent="0.25">
      <c r="P117" s="37" t="s">
        <v>120</v>
      </c>
      <c r="Q117" s="37" t="s">
        <v>121</v>
      </c>
      <c r="S117" t="str">
        <f t="shared" ref="S117:S122" si="2">CONCATENATE(Q117," (",P117,")")</f>
        <v>S3-VAD-HPR-R (S3 High Perfromance Red VAD/Red Body)</v>
      </c>
    </row>
    <row r="118" spans="16:19" x14ac:dyDescent="0.25">
      <c r="P118" s="37" t="s">
        <v>124</v>
      </c>
      <c r="Q118" s="37" t="s">
        <v>125</v>
      </c>
      <c r="S118" t="str">
        <f t="shared" si="2"/>
        <v>S3-S-VAD-HPR-R (S3 Sndr/High Perf Red VAD/Red Body)</v>
      </c>
    </row>
    <row r="119" spans="16:19" x14ac:dyDescent="0.25">
      <c r="P119" s="37" t="s">
        <v>128</v>
      </c>
      <c r="Q119" s="37" t="s">
        <v>129</v>
      </c>
      <c r="S119" t="str">
        <f t="shared" si="2"/>
        <v>S3-S-VAD-HPR-W (S3 Sndr/High Perf Red VAD/White Body)</v>
      </c>
    </row>
    <row r="120" spans="16:19" x14ac:dyDescent="0.25">
      <c r="P120" s="37" t="s">
        <v>132</v>
      </c>
      <c r="Q120" s="37" t="s">
        <v>133</v>
      </c>
      <c r="S120" t="str">
        <f t="shared" si="2"/>
        <v>S3-V-VAD-HPR-R (S3 Voice Sndr/HP Red VAD/Red Body)</v>
      </c>
    </row>
    <row r="121" spans="16:19" x14ac:dyDescent="0.25">
      <c r="P121" s="37" t="s">
        <v>138</v>
      </c>
      <c r="Q121" s="37" t="s">
        <v>139</v>
      </c>
      <c r="S121" t="str">
        <f t="shared" si="2"/>
        <v>S3EP-VAD-HPR-R (S3 VAD/HP Red VAD/Red Body/IP66)</v>
      </c>
    </row>
    <row r="122" spans="16:19" x14ac:dyDescent="0.25">
      <c r="P122" s="37" t="s">
        <v>142</v>
      </c>
      <c r="Q122" s="37" t="s">
        <v>143</v>
      </c>
      <c r="S122" t="str">
        <f t="shared" si="2"/>
        <v>S3EP-V-VAD-HPR-R (S3 Voice Sndr/HP Red VAD/Red Body/IP66)</v>
      </c>
    </row>
    <row r="123" spans="16:19" x14ac:dyDescent="0.25">
      <c r="P123" s="37" t="s">
        <v>162</v>
      </c>
      <c r="Q123" s="37" t="s">
        <v>163</v>
      </c>
      <c r="S123" t="str">
        <f>CONCATENATE(Q123," (",P123,")")</f>
        <v>S3-S-VAD-LPR-R (S3 Sndr/Standard Power Red VAD/Red Body)</v>
      </c>
    </row>
    <row r="125" spans="16:19" x14ac:dyDescent="0.25">
      <c r="P125" s="37" t="s">
        <v>120</v>
      </c>
      <c r="Q125" s="37" t="s">
        <v>121</v>
      </c>
      <c r="S125" t="str">
        <f t="shared" ref="S125:S145" si="3">CONCATENATE(Q125," (",P125,")")</f>
        <v>S3-VAD-HPR-R (S3 High Perfromance Red VAD/Red Body)</v>
      </c>
    </row>
    <row r="126" spans="16:19" x14ac:dyDescent="0.25">
      <c r="P126" s="37" t="s">
        <v>124</v>
      </c>
      <c r="Q126" s="37" t="s">
        <v>125</v>
      </c>
      <c r="S126" t="str">
        <f t="shared" si="3"/>
        <v>S3-S-VAD-HPR-R (S3 Sndr/High Perf Red VAD/Red Body)</v>
      </c>
    </row>
    <row r="127" spans="16:19" x14ac:dyDescent="0.25">
      <c r="P127" s="37" t="s">
        <v>128</v>
      </c>
      <c r="Q127" s="37" t="s">
        <v>129</v>
      </c>
      <c r="S127" t="str">
        <f t="shared" si="3"/>
        <v>S3-S-VAD-HPR-W (S3 Sndr/High Perf Red VAD/White Body)</v>
      </c>
    </row>
    <row r="128" spans="16:19" x14ac:dyDescent="0.25">
      <c r="P128" s="37" t="s">
        <v>132</v>
      </c>
      <c r="Q128" s="37" t="s">
        <v>133</v>
      </c>
      <c r="S128" t="str">
        <f t="shared" si="3"/>
        <v>S3-V-VAD-HPR-R (S3 Voice Sndr/HP Red VAD/Red Body)</v>
      </c>
    </row>
    <row r="129" spans="16:19" x14ac:dyDescent="0.25">
      <c r="P129" s="37" t="s">
        <v>138</v>
      </c>
      <c r="Q129" s="37" t="s">
        <v>139</v>
      </c>
      <c r="S129" t="str">
        <f t="shared" si="3"/>
        <v>S3EP-VAD-HPR-R (S3 VAD/HP Red VAD/Red Body/IP66)</v>
      </c>
    </row>
    <row r="130" spans="16:19" x14ac:dyDescent="0.25">
      <c r="P130" s="37" t="s">
        <v>142</v>
      </c>
      <c r="Q130" s="37" t="s">
        <v>143</v>
      </c>
      <c r="S130" t="str">
        <f t="shared" si="3"/>
        <v>S3EP-V-VAD-HPR-R (S3 Voice Sndr/HP Red VAD/Red Body/IP66)</v>
      </c>
    </row>
    <row r="132" spans="16:19" x14ac:dyDescent="0.25">
      <c r="P132" s="37" t="s">
        <v>118</v>
      </c>
      <c r="Q132" s="37" t="s">
        <v>119</v>
      </c>
      <c r="S132" t="str">
        <f t="shared" si="3"/>
        <v>S3-VAD-HPW-R (S3 VAD/HP White VAD/Red body)</v>
      </c>
    </row>
    <row r="133" spans="16:19" x14ac:dyDescent="0.25">
      <c r="P133" s="37" t="s">
        <v>122</v>
      </c>
      <c r="Q133" s="37" t="s">
        <v>123</v>
      </c>
      <c r="S133" t="str">
        <f t="shared" si="3"/>
        <v>S3-S-VAD-HPW-R (S3 Sounder/HP White VAD/Red Body)</v>
      </c>
    </row>
    <row r="134" spans="16:19" x14ac:dyDescent="0.25">
      <c r="P134" s="37" t="s">
        <v>126</v>
      </c>
      <c r="Q134" s="37" t="s">
        <v>127</v>
      </c>
      <c r="S134" t="str">
        <f t="shared" si="3"/>
        <v>S3-S-VAD-HPW-W (S3 Sounder/HP White VAD/White Body)</v>
      </c>
    </row>
    <row r="135" spans="16:19" x14ac:dyDescent="0.25">
      <c r="P135" s="37" t="s">
        <v>130</v>
      </c>
      <c r="Q135" s="37" t="s">
        <v>131</v>
      </c>
      <c r="S135" t="str">
        <f t="shared" si="3"/>
        <v>S3-V-VAD-HPW-R (S3 Voice Sndr/HP White VAD/Red Body)</v>
      </c>
    </row>
    <row r="136" spans="16:19" x14ac:dyDescent="0.25">
      <c r="P136" s="37" t="s">
        <v>136</v>
      </c>
      <c r="Q136" s="37" t="s">
        <v>137</v>
      </c>
      <c r="S136" t="str">
        <f t="shared" si="3"/>
        <v>S3EP-VAD-HPW-R (S3 VAD/HP White VAD/Red Body/IP66)</v>
      </c>
    </row>
    <row r="137" spans="16:19" x14ac:dyDescent="0.25">
      <c r="P137" s="37" t="s">
        <v>140</v>
      </c>
      <c r="Q137" s="37" t="s">
        <v>141</v>
      </c>
      <c r="S137" t="str">
        <f t="shared" si="3"/>
        <v>S3EP-V-VAD-HPW-R (S3 Voice Sndr/HP White VAD/Red Body/IP66)</v>
      </c>
    </row>
    <row r="138" spans="16:19" x14ac:dyDescent="0.25">
      <c r="P138" s="37" t="s">
        <v>160</v>
      </c>
      <c r="Q138" s="37" t="s">
        <v>161</v>
      </c>
      <c r="S138" t="str">
        <f t="shared" si="3"/>
        <v>S3-S-VAD-LPW-R (S3 Sounder/Standard power  White VAD/Red Body)</v>
      </c>
    </row>
    <row r="140" spans="16:19" x14ac:dyDescent="0.25">
      <c r="P140" s="37" t="s">
        <v>118</v>
      </c>
      <c r="Q140" s="37" t="s">
        <v>119</v>
      </c>
      <c r="S140" t="str">
        <f t="shared" si="3"/>
        <v>S3-VAD-HPW-R (S3 VAD/HP White VAD/Red body)</v>
      </c>
    </row>
    <row r="141" spans="16:19" x14ac:dyDescent="0.25">
      <c r="P141" s="37" t="s">
        <v>122</v>
      </c>
      <c r="Q141" s="37" t="s">
        <v>123</v>
      </c>
      <c r="S141" t="str">
        <f t="shared" si="3"/>
        <v>S3-S-VAD-HPW-R (S3 Sounder/HP White VAD/Red Body)</v>
      </c>
    </row>
    <row r="142" spans="16:19" x14ac:dyDescent="0.25">
      <c r="P142" s="37" t="s">
        <v>126</v>
      </c>
      <c r="Q142" s="37" t="s">
        <v>127</v>
      </c>
      <c r="S142" t="str">
        <f t="shared" si="3"/>
        <v>S3-S-VAD-HPW-W (S3 Sounder/HP White VAD/White Body)</v>
      </c>
    </row>
    <row r="143" spans="16:19" x14ac:dyDescent="0.25">
      <c r="P143" s="37" t="s">
        <v>130</v>
      </c>
      <c r="Q143" s="37" t="s">
        <v>131</v>
      </c>
      <c r="S143" t="str">
        <f t="shared" si="3"/>
        <v>S3-V-VAD-HPW-R (S3 Voice Sndr/HP White VAD/Red Body)</v>
      </c>
    </row>
    <row r="144" spans="16:19" x14ac:dyDescent="0.25">
      <c r="P144" s="37" t="s">
        <v>136</v>
      </c>
      <c r="Q144" s="37" t="s">
        <v>137</v>
      </c>
      <c r="S144" t="str">
        <f t="shared" si="3"/>
        <v>S3EP-VAD-HPW-R (S3 VAD/HP White VAD/Red Body/IP66)</v>
      </c>
    </row>
    <row r="145" spans="16:19" x14ac:dyDescent="0.25">
      <c r="P145" s="37" t="s">
        <v>140</v>
      </c>
      <c r="Q145" s="37" t="s">
        <v>141</v>
      </c>
      <c r="S145" t="str">
        <f t="shared" si="3"/>
        <v>S3EP-V-VAD-HPW-R (S3 Voice Sndr/HP White VAD/Red Body/IP66)</v>
      </c>
    </row>
    <row r="148" spans="16:19" x14ac:dyDescent="0.25">
      <c r="P148" s="37" t="s">
        <v>294</v>
      </c>
      <c r="Q148" s="37" t="s">
        <v>121</v>
      </c>
      <c r="S148" t="str">
        <f>CONCATENATE(Q148," (",P148,")")</f>
        <v>S3-VAD-HPR-R (S3 VAD/HP Red VAD/Red body)</v>
      </c>
    </row>
    <row r="149" spans="16:19" x14ac:dyDescent="0.25">
      <c r="P149" s="37" t="s">
        <v>138</v>
      </c>
      <c r="Q149" s="37" t="s">
        <v>139</v>
      </c>
      <c r="S149" t="str">
        <f>CONCATENATE(Q149," (",P149,")")</f>
        <v>S3EP-VAD-HPR-R (S3 VAD/HP Red VAD/Red Body/IP66)</v>
      </c>
    </row>
    <row r="152" spans="16:19" x14ac:dyDescent="0.25">
      <c r="P152" s="37" t="s">
        <v>118</v>
      </c>
      <c r="Q152" s="37" t="s">
        <v>119</v>
      </c>
      <c r="S152" t="str">
        <f>CONCATENATE(Q152," (",P152,")")</f>
        <v>S3-VAD-HPW-R (S3 VAD/HP White VAD/Red body)</v>
      </c>
    </row>
    <row r="153" spans="16:19" x14ac:dyDescent="0.25">
      <c r="P153" s="37" t="s">
        <v>136</v>
      </c>
      <c r="Q153" s="37" t="s">
        <v>137</v>
      </c>
      <c r="S153" t="str">
        <f>CONCATENATE(Q153," (",P153,")")</f>
        <v>S3EP-VAD-HPW-R (S3 VAD/HP White VAD/Red Body/IP66)</v>
      </c>
    </row>
    <row r="204" spans="1:18" x14ac:dyDescent="0.25">
      <c r="A204">
        <v>0</v>
      </c>
      <c r="B204">
        <v>1</v>
      </c>
      <c r="C204">
        <v>2</v>
      </c>
      <c r="D204">
        <v>3</v>
      </c>
      <c r="E204">
        <v>4</v>
      </c>
      <c r="F204">
        <v>5</v>
      </c>
      <c r="G204">
        <v>6</v>
      </c>
      <c r="H204">
        <v>7</v>
      </c>
      <c r="I204">
        <v>8</v>
      </c>
      <c r="J204">
        <v>9</v>
      </c>
      <c r="K204">
        <v>10</v>
      </c>
      <c r="L204">
        <v>11</v>
      </c>
      <c r="M204">
        <v>12</v>
      </c>
      <c r="N204">
        <v>13</v>
      </c>
      <c r="O204">
        <v>14</v>
      </c>
      <c r="P204">
        <v>15</v>
      </c>
      <c r="Q204">
        <v>16</v>
      </c>
      <c r="R204">
        <v>17</v>
      </c>
    </row>
    <row r="207" spans="1:18" x14ac:dyDescent="0.25">
      <c r="M207">
        <f>IF($K207="Red / High Output ***",$L207,IF($K207=$M$20,$L207,0))</f>
        <v>0</v>
      </c>
      <c r="N207">
        <f>IF($K207=$N$20,$L207,0)</f>
        <v>0</v>
      </c>
      <c r="O207">
        <f>IF($K207=$O$20,$L207,0)</f>
        <v>0</v>
      </c>
      <c r="P207">
        <f>IF($K207="White / High Output ***",$L207,IF($K207=$P$20,$L207,0))</f>
        <v>0</v>
      </c>
      <c r="Q207">
        <f>IF($K207=$Q$20,$L207,0)</f>
        <v>0</v>
      </c>
    </row>
    <row r="209" spans="19:19" x14ac:dyDescent="0.25">
      <c r="S209" t="str">
        <f>IF(AND(wallceilingselected=FALSE,wallactive=1),selectedmaxspacingwall,IF(AND(wallceilingselected=FALSE,wallactive=0),selectedmaxspacing,"Not Set"))</f>
        <v>Not Set</v>
      </c>
    </row>
  </sheetData>
  <autoFilter ref="R34:X75"/>
  <mergeCells count="7">
    <mergeCell ref="Q1:S1"/>
    <mergeCell ref="W1:Z1"/>
    <mergeCell ref="A14:C14"/>
    <mergeCell ref="E14:G14"/>
    <mergeCell ref="A1:C1"/>
    <mergeCell ref="E1:G1"/>
    <mergeCell ref="J1:M1"/>
  </mergeCells>
  <conditionalFormatting sqref="R15">
    <cfRule type="expression" dxfId="17" priority="17">
      <formula>$R$15&gt;=$U$18</formula>
    </cfRule>
  </conditionalFormatting>
  <conditionalFormatting sqref="R16">
    <cfRule type="expression" dxfId="16" priority="16">
      <formula>$R$16&gt;=$U$18</formula>
    </cfRule>
  </conditionalFormatting>
  <conditionalFormatting sqref="R17">
    <cfRule type="expression" dxfId="15" priority="15">
      <formula>$R$17&gt;=$U$18</formula>
    </cfRule>
  </conditionalFormatting>
  <conditionalFormatting sqref="S15:S17">
    <cfRule type="expression" dxfId="14" priority="14">
      <formula>S15&gt;=$V$18</formula>
    </cfRule>
  </conditionalFormatting>
  <conditionalFormatting sqref="R18">
    <cfRule type="expression" dxfId="13" priority="13">
      <formula>$R$18&gt;=$U$18</formula>
    </cfRule>
  </conditionalFormatting>
  <conditionalFormatting sqref="S18">
    <cfRule type="expression" dxfId="12" priority="12">
      <formula>$S$18&gt;=$V$18</formula>
    </cfRule>
  </conditionalFormatting>
  <conditionalFormatting sqref="S20:S23">
    <cfRule type="expression" dxfId="11" priority="11">
      <formula>$S20&gt;=$V$18</formula>
    </cfRule>
  </conditionalFormatting>
  <conditionalFormatting sqref="S23:T23">
    <cfRule type="cellIs" dxfId="10" priority="10" operator="equal">
      <formula>"N/A"</formula>
    </cfRule>
  </conditionalFormatting>
  <conditionalFormatting sqref="T20:T23">
    <cfRule type="expression" dxfId="9" priority="9">
      <formula>$T20&gt;=$V$18</formula>
    </cfRule>
  </conditionalFormatting>
  <conditionalFormatting sqref="U20:U23">
    <cfRule type="expression" dxfId="8" priority="8">
      <formula>$U20&gt;=$V$18</formula>
    </cfRule>
  </conditionalFormatting>
  <conditionalFormatting sqref="E24">
    <cfRule type="expression" dxfId="7" priority="7">
      <formula>$E$24&lt;$E$23</formula>
    </cfRule>
  </conditionalFormatting>
  <conditionalFormatting sqref="P35:Q44">
    <cfRule type="cellIs" dxfId="6" priority="6" operator="equal">
      <formula>"??"</formula>
    </cfRule>
  </conditionalFormatting>
  <conditionalFormatting sqref="P86:Q90">
    <cfRule type="cellIs" dxfId="5" priority="5" operator="equal">
      <formula>"??"</formula>
    </cfRule>
  </conditionalFormatting>
  <conditionalFormatting sqref="P101:Q108">
    <cfRule type="cellIs" dxfId="4" priority="2" operator="equal">
      <formula>"??"</formula>
    </cfRule>
  </conditionalFormatting>
  <conditionalFormatting sqref="P94:Q97">
    <cfRule type="cellIs" dxfId="3" priority="3" operator="equal">
      <formula>"??"</formula>
    </cfRule>
  </conditionalFormatting>
  <conditionalFormatting sqref="P110:Q113">
    <cfRule type="cellIs" dxfId="2" priority="1" operator="equal">
      <formula>"??"</formula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Spinner 1">
              <controlPr defaultSize="0" autoPict="0">
                <anchor moveWithCells="1" sizeWithCells="1">
                  <from>
                    <xdr:col>20</xdr:col>
                    <xdr:colOff>809625</xdr:colOff>
                    <xdr:row>15</xdr:row>
                    <xdr:rowOff>57150</xdr:rowOff>
                  </from>
                  <to>
                    <xdr:col>21</xdr:col>
                    <xdr:colOff>276225</xdr:colOff>
                    <xdr:row>16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Spinner 2">
              <controlPr defaultSize="0" autoPict="0">
                <anchor moveWithCells="1" sizeWithCells="1">
                  <from>
                    <xdr:col>19</xdr:col>
                    <xdr:colOff>590550</xdr:colOff>
                    <xdr:row>15</xdr:row>
                    <xdr:rowOff>295275</xdr:rowOff>
                  </from>
                  <to>
                    <xdr:col>20</xdr:col>
                    <xdr:colOff>285750</xdr:colOff>
                    <xdr:row>16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Spinner 3">
              <controlPr defaultSize="0" autoPict="0">
                <anchor moveWithCells="1" sizeWithCells="1">
                  <from>
                    <xdr:col>21</xdr:col>
                    <xdr:colOff>933450</xdr:colOff>
                    <xdr:row>16</xdr:row>
                    <xdr:rowOff>57150</xdr:rowOff>
                  </from>
                  <to>
                    <xdr:col>22</xdr:col>
                    <xdr:colOff>66675</xdr:colOff>
                    <xdr:row>17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Spinner 4">
              <controlPr defaultSize="0" autoPict="0">
                <anchor moveWithCells="1" sizeWithCells="1">
                  <from>
                    <xdr:col>19</xdr:col>
                    <xdr:colOff>438150</xdr:colOff>
                    <xdr:row>17</xdr:row>
                    <xdr:rowOff>133350</xdr:rowOff>
                  </from>
                  <to>
                    <xdr:col>20</xdr:col>
                    <xdr:colOff>133350</xdr:colOff>
                    <xdr:row>18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Spinner 5">
              <controlPr defaultSize="0" autoPict="0">
                <anchor moveWithCells="1" sizeWithCells="1">
                  <from>
                    <xdr:col>22</xdr:col>
                    <xdr:colOff>142875</xdr:colOff>
                    <xdr:row>16</xdr:row>
                    <xdr:rowOff>371475</xdr:rowOff>
                  </from>
                  <to>
                    <xdr:col>22</xdr:col>
                    <xdr:colOff>447675</xdr:colOff>
                    <xdr:row>18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AD140"/>
  <sheetViews>
    <sheetView topLeftCell="A42" zoomScaleNormal="100" workbookViewId="0">
      <selection activeCell="I102" sqref="I102"/>
    </sheetView>
  </sheetViews>
  <sheetFormatPr defaultRowHeight="15" x14ac:dyDescent="0.25"/>
  <cols>
    <col min="1" max="1" width="22.7109375" bestFit="1" customWidth="1"/>
    <col min="2" max="2" width="20.5703125" bestFit="1" customWidth="1"/>
    <col min="3" max="3" width="20.5703125" customWidth="1"/>
    <col min="4" max="4" width="10.5703125" customWidth="1"/>
    <col min="7" max="7" width="22.7109375" bestFit="1" customWidth="1"/>
    <col min="8" max="8" width="19.85546875" customWidth="1"/>
    <col min="9" max="9" width="20" customWidth="1"/>
    <col min="10" max="10" width="18.140625" customWidth="1"/>
    <col min="12" max="12" width="31.7109375" bestFit="1" customWidth="1"/>
    <col min="28" max="28" width="14.28515625" customWidth="1"/>
  </cols>
  <sheetData>
    <row r="1" spans="1:30" ht="31.5" customHeight="1" x14ac:dyDescent="0.25">
      <c r="A1" t="s">
        <v>248</v>
      </c>
      <c r="B1" s="61" t="s">
        <v>0</v>
      </c>
      <c r="C1" s="54"/>
      <c r="D1" s="89" t="s">
        <v>183</v>
      </c>
      <c r="E1" s="89" t="s">
        <v>184</v>
      </c>
      <c r="F1" s="54"/>
      <c r="G1" s="61" t="s">
        <v>2</v>
      </c>
      <c r="H1" s="54"/>
      <c r="J1" s="109" t="str">
        <f ca="1">CONCATENATE(I6,"th ",J6," ",J7)</f>
        <v>20th March 2015</v>
      </c>
      <c r="L1" s="106" t="s">
        <v>279</v>
      </c>
      <c r="M1" s="43" t="s">
        <v>186</v>
      </c>
      <c r="N1" s="43" t="s">
        <v>187</v>
      </c>
      <c r="O1" s="43" t="s">
        <v>188</v>
      </c>
      <c r="P1" s="43" t="s">
        <v>189</v>
      </c>
      <c r="R1" s="69" t="s">
        <v>199</v>
      </c>
      <c r="S1" s="69" t="s">
        <v>200</v>
      </c>
      <c r="T1" s="69" t="s">
        <v>201</v>
      </c>
      <c r="U1" s="69" t="s">
        <v>231</v>
      </c>
      <c r="V1" t="s">
        <v>244</v>
      </c>
      <c r="W1" s="69" t="s">
        <v>241</v>
      </c>
      <c r="AD1">
        <f>AD2+3</f>
        <v>93</v>
      </c>
    </row>
    <row r="2" spans="1:30" ht="15" customHeight="1" x14ac:dyDescent="0.25">
      <c r="A2" t="s">
        <v>299</v>
      </c>
      <c r="B2" s="66">
        <v>2</v>
      </c>
      <c r="C2" s="62" t="str">
        <f>IF(VADcolour=1,"Red","White")</f>
        <v>White</v>
      </c>
      <c r="D2" s="67">
        <v>2.5</v>
      </c>
      <c r="E2" s="70">
        <v>1</v>
      </c>
      <c r="F2" s="62" t="str">
        <f>IF(Lineofsight=1,"Direct","Indirect")</f>
        <v>Direct</v>
      </c>
      <c r="G2" s="68">
        <v>150</v>
      </c>
      <c r="H2" s="65">
        <f>IF($G$2&gt;'Table 1'!H22,"Light level too High",IF($G$2&gt;'Table 1'!H21,Sheet2!K9,IF($G$2&gt;'Table 1'!H20,Sheet2!K8,IF($G$2&gt;'Table 1'!H19,Sheet2!K7,IF($G$2&gt;'Table 1'!H18,Sheet2!K6,IF($G$2&gt;'Table 1'!H17,Sheet2!K5,IF($G$2&gt;'Table 1'!H16,Sheet2!K4,IF($G$2&gt;'Table 1'!H15,Sheet2!K3,Sheet2!K2))))))))</f>
        <v>2</v>
      </c>
      <c r="J2" s="109"/>
      <c r="K2">
        <v>1</v>
      </c>
      <c r="L2" s="107" t="s">
        <v>55</v>
      </c>
      <c r="M2" s="37">
        <v>2.8</v>
      </c>
      <c r="N2" s="37">
        <v>1.3</v>
      </c>
      <c r="O2" s="37">
        <v>5.2</v>
      </c>
      <c r="P2" s="37">
        <v>1.8</v>
      </c>
      <c r="R2">
        <f>+lengthofroom</f>
        <v>10</v>
      </c>
      <c r="S2">
        <f>+widthofroom</f>
        <v>5</v>
      </c>
      <c r="T2">
        <f>Ceilingheight</f>
        <v>2.5</v>
      </c>
      <c r="U2">
        <v>5</v>
      </c>
      <c r="V2">
        <f>IF(ambient_sound_level&lt;59,65,+ambient_sound_level+5)</f>
        <v>65</v>
      </c>
      <c r="W2">
        <f>+sounderspacing</f>
        <v>20</v>
      </c>
      <c r="AB2" t="b">
        <f>AND(Target_SPL&gt;AD2,Target_SPL&lt;AD1)</f>
        <v>0</v>
      </c>
      <c r="AC2">
        <v>1</v>
      </c>
      <c r="AD2">
        <v>90</v>
      </c>
    </row>
    <row r="3" spans="1:30" ht="15" customHeight="1" x14ac:dyDescent="0.25">
      <c r="A3">
        <v>1</v>
      </c>
      <c r="B3" s="55"/>
      <c r="C3" s="57"/>
      <c r="D3" s="63" t="s">
        <v>230</v>
      </c>
      <c r="E3" s="55" t="s">
        <v>255</v>
      </c>
      <c r="F3" s="57"/>
      <c r="G3" s="137" t="str">
        <f>IF(G2&lt;800,VLOOKUP(H2,Sheet2!K2:L9,2,0),"Light Level too High")</f>
        <v>Well Below Average  (100 to 200 Lux)</v>
      </c>
      <c r="H3" s="138"/>
      <c r="K3">
        <v>2</v>
      </c>
      <c r="L3" s="108" t="s">
        <v>56</v>
      </c>
      <c r="M3" s="37">
        <v>2.4</v>
      </c>
      <c r="N3" s="37">
        <v>1.2</v>
      </c>
      <c r="O3" s="37">
        <v>4.4000000000000004</v>
      </c>
      <c r="P3" s="37">
        <v>1.7</v>
      </c>
      <c r="S3">
        <v>1</v>
      </c>
      <c r="V3" t="s">
        <v>247</v>
      </c>
      <c r="Z3">
        <f>ambientset-65</f>
        <v>0</v>
      </c>
      <c r="AB3" t="b">
        <f>AND(Target_SPL&gt;AD3,Target_SPL&lt;AD2)</f>
        <v>0</v>
      </c>
      <c r="AC3">
        <v>1.5</v>
      </c>
      <c r="AD3">
        <f>AD2-3</f>
        <v>87</v>
      </c>
    </row>
    <row r="4" spans="1:30" ht="15" customHeight="1" x14ac:dyDescent="0.25">
      <c r="A4" t="s">
        <v>213</v>
      </c>
      <c r="B4" s="55"/>
      <c r="C4" s="57"/>
      <c r="D4" s="67">
        <v>2.4</v>
      </c>
      <c r="E4" s="55">
        <v>1</v>
      </c>
      <c r="F4" s="62" t="str">
        <f>IF(line_of_sight_wall=1,"Direct","Indirect")</f>
        <v>Direct</v>
      </c>
      <c r="G4" s="55"/>
      <c r="H4" s="57"/>
      <c r="J4" s="110"/>
      <c r="K4">
        <v>3</v>
      </c>
      <c r="L4" s="107" t="s">
        <v>57</v>
      </c>
      <c r="M4" s="37">
        <v>1.9</v>
      </c>
      <c r="N4" s="37">
        <v>1</v>
      </c>
      <c r="O4" s="37">
        <v>3.2</v>
      </c>
      <c r="P4" s="37">
        <v>1.4</v>
      </c>
      <c r="S4">
        <v>1</v>
      </c>
      <c r="V4">
        <f>Required_SPL</f>
        <v>65</v>
      </c>
      <c r="AB4" t="b">
        <f>AND(Target_SPL&gt;AD4,Target_SPL&lt;AD3)</f>
        <v>0</v>
      </c>
      <c r="AC4">
        <v>2</v>
      </c>
      <c r="AD4">
        <f t="shared" ref="AD4:AD16" si="0">AD3-3</f>
        <v>84</v>
      </c>
    </row>
    <row r="5" spans="1:30" ht="15" customHeight="1" thickBot="1" x14ac:dyDescent="0.3">
      <c r="A5">
        <v>3</v>
      </c>
      <c r="B5" s="58"/>
      <c r="C5" s="60"/>
      <c r="D5" s="64"/>
      <c r="E5" s="58"/>
      <c r="F5" s="60"/>
      <c r="G5" s="58"/>
      <c r="H5" s="60"/>
      <c r="J5" s="109"/>
      <c r="K5">
        <v>4</v>
      </c>
      <c r="L5" s="108" t="s">
        <v>60</v>
      </c>
      <c r="M5" s="37">
        <v>1.4</v>
      </c>
      <c r="N5" s="37">
        <v>0.8</v>
      </c>
      <c r="O5" s="37">
        <v>2.2999999999999998</v>
      </c>
      <c r="P5" s="37">
        <v>1.2</v>
      </c>
      <c r="S5">
        <v>1</v>
      </c>
      <c r="AA5" t="b">
        <v>1</v>
      </c>
      <c r="AB5" t="b">
        <f>AND(Target_SPL&gt;AD5,Target_SPL&lt;AD4)</f>
        <v>0</v>
      </c>
      <c r="AC5">
        <v>3</v>
      </c>
      <c r="AD5">
        <f t="shared" si="0"/>
        <v>81</v>
      </c>
    </row>
    <row r="6" spans="1:30" ht="15" customHeight="1" x14ac:dyDescent="0.25">
      <c r="A6" t="s">
        <v>298</v>
      </c>
      <c r="B6">
        <v>0</v>
      </c>
      <c r="C6" t="str">
        <f>CONCATENATE("Room ",roomidnumber+1)</f>
        <v>Room 1</v>
      </c>
      <c r="G6" t="str">
        <f>CONCATENATE("VAD options for - - - ",roomname," - - - - - ",Project_Name)</f>
        <v>VAD options for - - - Room 1 - - - - - 20th March 2015</v>
      </c>
      <c r="I6">
        <f ca="1">DAY(TODAY())</f>
        <v>20</v>
      </c>
      <c r="J6" t="str">
        <f ca="1">VLOOKUP(MONTH(TODAY()),month,2,0)</f>
        <v>March</v>
      </c>
      <c r="K6">
        <v>5</v>
      </c>
      <c r="L6" s="107" t="s">
        <v>62</v>
      </c>
      <c r="M6" s="37">
        <v>1.1000000000000001</v>
      </c>
      <c r="N6" s="37">
        <v>0.6</v>
      </c>
      <c r="O6" s="37">
        <v>1.8</v>
      </c>
      <c r="P6" s="37">
        <v>1</v>
      </c>
      <c r="S6">
        <v>1</v>
      </c>
      <c r="AB6" t="b">
        <f>AND(Target_SPL&gt;=AD6,Target_SPL&lt;AD5)</f>
        <v>0</v>
      </c>
      <c r="AC6">
        <v>4</v>
      </c>
      <c r="AD6">
        <f t="shared" si="0"/>
        <v>78</v>
      </c>
    </row>
    <row r="7" spans="1:30" ht="15" customHeight="1" x14ac:dyDescent="0.25">
      <c r="A7" t="s">
        <v>191</v>
      </c>
      <c r="B7" t="s">
        <v>174</v>
      </c>
      <c r="C7" t="s">
        <v>175</v>
      </c>
      <c r="H7" t="s">
        <v>72</v>
      </c>
      <c r="J7">
        <f ca="1">YEAR(TODAY())</f>
        <v>2015</v>
      </c>
      <c r="K7">
        <v>6</v>
      </c>
      <c r="L7" s="108" t="s">
        <v>64</v>
      </c>
      <c r="M7" s="37">
        <v>0.9</v>
      </c>
      <c r="N7" s="37">
        <v>0.5</v>
      </c>
      <c r="O7" s="37">
        <v>1.3</v>
      </c>
      <c r="P7" s="37">
        <v>0.9</v>
      </c>
      <c r="S7">
        <v>1</v>
      </c>
      <c r="AB7" t="b">
        <f>AND(Target_SPL&gt;=AD7,Target_SPL&lt;AD6)</f>
        <v>0</v>
      </c>
      <c r="AC7">
        <v>6</v>
      </c>
      <c r="AD7">
        <f t="shared" si="0"/>
        <v>75</v>
      </c>
    </row>
    <row r="8" spans="1:30" ht="15" customHeight="1" x14ac:dyDescent="0.25">
      <c r="B8" s="67">
        <v>10</v>
      </c>
      <c r="C8" s="67">
        <v>5</v>
      </c>
      <c r="H8">
        <v>1</v>
      </c>
      <c r="K8">
        <v>7</v>
      </c>
      <c r="L8" s="107" t="s">
        <v>66</v>
      </c>
      <c r="M8" s="37">
        <v>0.7</v>
      </c>
      <c r="N8" s="37">
        <v>0.4</v>
      </c>
      <c r="O8" s="37">
        <v>1</v>
      </c>
      <c r="P8" s="37">
        <v>0.7</v>
      </c>
      <c r="S8">
        <v>1</v>
      </c>
      <c r="AA8">
        <v>0</v>
      </c>
      <c r="AB8" t="b">
        <f t="shared" ref="AB8:AB16" si="1">AND(Target_SPL&gt;AD8,Target_SPL&lt;AD7)</f>
        <v>0</v>
      </c>
      <c r="AC8">
        <v>8</v>
      </c>
      <c r="AD8">
        <f t="shared" si="0"/>
        <v>72</v>
      </c>
    </row>
    <row r="9" spans="1:30" x14ac:dyDescent="0.25">
      <c r="K9">
        <v>8</v>
      </c>
      <c r="L9" s="108" t="s">
        <v>69</v>
      </c>
      <c r="M9" s="37">
        <v>0.5</v>
      </c>
      <c r="N9" s="37">
        <v>0.3</v>
      </c>
      <c r="O9" s="37">
        <v>0.7</v>
      </c>
      <c r="P9" s="37">
        <v>0.6</v>
      </c>
      <c r="S9">
        <v>1</v>
      </c>
      <c r="AA9">
        <v>-3</v>
      </c>
      <c r="AB9" t="b">
        <f t="shared" si="1"/>
        <v>0</v>
      </c>
      <c r="AC9">
        <v>12</v>
      </c>
      <c r="AD9">
        <f t="shared" si="0"/>
        <v>69</v>
      </c>
    </row>
    <row r="10" spans="1:30" ht="36.75" customHeight="1" x14ac:dyDescent="0.25">
      <c r="A10" t="s">
        <v>198</v>
      </c>
      <c r="B10" t="s">
        <v>249</v>
      </c>
      <c r="G10">
        <f>VLOOKUP(detectiontech,Heat___Coridoor,2,0)</f>
        <v>10.5</v>
      </c>
      <c r="L10" s="133" t="s">
        <v>280</v>
      </c>
      <c r="M10" s="134"/>
      <c r="N10" s="134"/>
      <c r="O10" s="134"/>
      <c r="P10" s="134"/>
      <c r="S10">
        <v>1</v>
      </c>
      <c r="AA10">
        <v>-6</v>
      </c>
      <c r="AB10" t="b">
        <f t="shared" si="1"/>
        <v>0</v>
      </c>
      <c r="AC10">
        <v>16</v>
      </c>
      <c r="AD10">
        <f t="shared" si="0"/>
        <v>66</v>
      </c>
    </row>
    <row r="11" spans="1:30" x14ac:dyDescent="0.25">
      <c r="A11" t="str">
        <f>IF(Detection_Tech=1,"Smoke","Heat")</f>
        <v>Smoke</v>
      </c>
      <c r="B11" t="s">
        <v>295</v>
      </c>
      <c r="M11" s="56"/>
      <c r="N11" s="56"/>
      <c r="O11" s="56"/>
      <c r="P11" s="56"/>
      <c r="S11">
        <v>1</v>
      </c>
      <c r="AA11">
        <v>-12</v>
      </c>
      <c r="AB11" t="b">
        <f t="shared" si="1"/>
        <v>1</v>
      </c>
      <c r="AC11">
        <v>24</v>
      </c>
      <c r="AD11">
        <f t="shared" si="0"/>
        <v>63</v>
      </c>
    </row>
    <row r="12" spans="1:30" x14ac:dyDescent="0.25">
      <c r="A12">
        <v>1</v>
      </c>
      <c r="C12" s="39" t="s">
        <v>203</v>
      </c>
      <c r="F12" t="b">
        <f>AND(ceilingactive=1,wallactive=1)</f>
        <v>1</v>
      </c>
      <c r="H12" s="39" t="s">
        <v>202</v>
      </c>
      <c r="J12" s="69" t="s">
        <v>242</v>
      </c>
      <c r="M12" s="56"/>
      <c r="N12" s="56"/>
      <c r="O12" s="56"/>
      <c r="P12" s="56"/>
      <c r="S12">
        <v>1</v>
      </c>
      <c r="AA12">
        <v>-15</v>
      </c>
      <c r="AB12" t="b">
        <f t="shared" si="1"/>
        <v>0</v>
      </c>
      <c r="AC12">
        <v>32</v>
      </c>
      <c r="AD12">
        <f t="shared" si="0"/>
        <v>60</v>
      </c>
    </row>
    <row r="13" spans="1:30" ht="15.75" thickBot="1" x14ac:dyDescent="0.3">
      <c r="A13" t="str">
        <f>CONCATENATE(dettechname," - ",Open_or_Corridoor)</f>
        <v>Smoke - Open Area</v>
      </c>
      <c r="B13" t="str">
        <f>CONCATENATE(detectiontech," - nominal spacing ",VLOOKUP(detectiontech,Heat___Coridoor,2,0),"m")</f>
        <v>Smoke - Open Area - nominal spacing 10.5m</v>
      </c>
      <c r="C13" s="39">
        <v>1</v>
      </c>
      <c r="H13" s="39">
        <v>1</v>
      </c>
      <c r="J13">
        <v>1</v>
      </c>
      <c r="S13">
        <v>1</v>
      </c>
      <c r="AA13">
        <v>-18</v>
      </c>
      <c r="AB13" t="b">
        <f t="shared" si="1"/>
        <v>0</v>
      </c>
      <c r="AC13">
        <v>48</v>
      </c>
      <c r="AD13">
        <f t="shared" si="0"/>
        <v>57</v>
      </c>
    </row>
    <row r="14" spans="1:30" ht="27" thickBot="1" x14ac:dyDescent="0.45">
      <c r="A14" s="139" t="s">
        <v>16</v>
      </c>
      <c r="B14" s="140"/>
      <c r="C14" s="140"/>
      <c r="D14" s="140"/>
      <c r="E14" s="141"/>
      <c r="G14" s="142" t="s">
        <v>22</v>
      </c>
      <c r="H14" s="143"/>
      <c r="I14" s="143"/>
      <c r="J14" s="143"/>
      <c r="K14" s="144"/>
      <c r="N14" t="s">
        <v>68</v>
      </c>
      <c r="O14">
        <v>10.5</v>
      </c>
      <c r="S14">
        <v>1</v>
      </c>
      <c r="AA14">
        <v>-24</v>
      </c>
      <c r="AB14" t="b">
        <f t="shared" si="1"/>
        <v>0</v>
      </c>
      <c r="AC14">
        <v>64</v>
      </c>
      <c r="AD14">
        <f t="shared" si="0"/>
        <v>54</v>
      </c>
    </row>
    <row r="15" spans="1:30" x14ac:dyDescent="0.25">
      <c r="A15" t="s">
        <v>0</v>
      </c>
      <c r="B15">
        <v>2</v>
      </c>
      <c r="C15" t="str">
        <f>VADcolourtext</f>
        <v>White</v>
      </c>
      <c r="G15" t="s">
        <v>0</v>
      </c>
      <c r="H15">
        <f>VADcolour</f>
        <v>2</v>
      </c>
      <c r="I15" t="str">
        <f>VADcolourtext</f>
        <v>White</v>
      </c>
      <c r="N15" t="s">
        <v>275</v>
      </c>
      <c r="O15">
        <v>7.5</v>
      </c>
      <c r="S15">
        <v>1</v>
      </c>
      <c r="AA15">
        <v>-27</v>
      </c>
      <c r="AB15" t="b">
        <f t="shared" si="1"/>
        <v>0</v>
      </c>
      <c r="AD15">
        <f t="shared" si="0"/>
        <v>51</v>
      </c>
    </row>
    <row r="16" spans="1:30" x14ac:dyDescent="0.25">
      <c r="A16" t="s">
        <v>183</v>
      </c>
      <c r="B16">
        <f>Ceilingheight</f>
        <v>2.5</v>
      </c>
      <c r="G16" t="s">
        <v>176</v>
      </c>
      <c r="H16">
        <f>WallHeight</f>
        <v>2.4</v>
      </c>
      <c r="N16" t="s">
        <v>281</v>
      </c>
      <c r="O16">
        <v>15</v>
      </c>
      <c r="S16">
        <v>1</v>
      </c>
      <c r="AB16" t="b">
        <f t="shared" si="1"/>
        <v>0</v>
      </c>
      <c r="AD16">
        <f t="shared" si="0"/>
        <v>48</v>
      </c>
    </row>
    <row r="17" spans="1:19" x14ac:dyDescent="0.25">
      <c r="B17" s="7">
        <f>Lineofsight</f>
        <v>1</v>
      </c>
      <c r="C17" s="7" t="str">
        <f>Lineofsighttext</f>
        <v>Direct</v>
      </c>
      <c r="G17" t="s">
        <v>184</v>
      </c>
      <c r="H17" s="7">
        <f>line_of_sight_wall</f>
        <v>1</v>
      </c>
      <c r="I17" s="7" t="str">
        <f>line_of_sight_text_wall</f>
        <v>Direct</v>
      </c>
      <c r="N17" t="s">
        <v>274</v>
      </c>
      <c r="O17">
        <v>10.5</v>
      </c>
      <c r="S17">
        <v>1</v>
      </c>
    </row>
    <row r="18" spans="1:19" x14ac:dyDescent="0.25">
      <c r="A18" t="s">
        <v>185</v>
      </c>
      <c r="B18">
        <f>Ambientcat</f>
        <v>2</v>
      </c>
      <c r="C18">
        <f>Ambient</f>
        <v>150</v>
      </c>
      <c r="D18" t="str">
        <f>ambientdesc</f>
        <v>Well Below Average  (100 to 200 Lux)</v>
      </c>
      <c r="H18">
        <f>Ambientcat</f>
        <v>2</v>
      </c>
      <c r="I18">
        <f>Ambient</f>
        <v>150</v>
      </c>
      <c r="J18" t="str">
        <f>ambientdesc</f>
        <v>Well Below Average  (100 to 200 Lux)</v>
      </c>
      <c r="S18">
        <v>1</v>
      </c>
    </row>
    <row r="19" spans="1:19" x14ac:dyDescent="0.25">
      <c r="A19" t="s">
        <v>190</v>
      </c>
      <c r="B19">
        <f>IF(Lineofsight=1,VLOOKUP(Ambientcat,lookuptable,3,0),VLOOKUP(Ambientcat,lookuptable,4,0))</f>
        <v>2.4</v>
      </c>
      <c r="G19" t="s">
        <v>190</v>
      </c>
      <c r="H19">
        <f>IF(line_of_sight_wall=1,VLOOKUP(Ambientcat,lookuptable,5,0),VLOOKUP(Ambientcat,lookuptable,6,0))</f>
        <v>4.4000000000000004</v>
      </c>
      <c r="S19">
        <v>1</v>
      </c>
    </row>
    <row r="20" spans="1:19" ht="30" x14ac:dyDescent="0.25">
      <c r="I20" s="13" t="s">
        <v>245</v>
      </c>
      <c r="J20" s="13" t="s">
        <v>243</v>
      </c>
      <c r="K20" t="s">
        <v>246</v>
      </c>
      <c r="N20">
        <v>1</v>
      </c>
      <c r="O20" t="s">
        <v>282</v>
      </c>
      <c r="S20">
        <v>1</v>
      </c>
    </row>
    <row r="21" spans="1:19" x14ac:dyDescent="0.25">
      <c r="A21" t="s">
        <v>192</v>
      </c>
      <c r="B21" s="67">
        <v>10.5</v>
      </c>
      <c r="G21" t="s">
        <v>193</v>
      </c>
      <c r="H21" s="67">
        <v>20</v>
      </c>
      <c r="I21">
        <f>VLOOKUP(AA5,SPL_lookup,2,0)*2</f>
        <v>48</v>
      </c>
      <c r="J21">
        <v>60</v>
      </c>
      <c r="K21">
        <v>65</v>
      </c>
      <c r="N21">
        <v>2</v>
      </c>
      <c r="O21" t="s">
        <v>283</v>
      </c>
      <c r="S21">
        <v>1</v>
      </c>
    </row>
    <row r="22" spans="1:19" x14ac:dyDescent="0.25">
      <c r="H22" t="str">
        <f>CONCATENATE("Max spacing for sounders - ",sounderspacing,"m")</f>
        <v>Max spacing for sounders - 20m</v>
      </c>
      <c r="N22">
        <v>3</v>
      </c>
      <c r="O22" t="s">
        <v>284</v>
      </c>
      <c r="S22">
        <v>1</v>
      </c>
    </row>
    <row r="23" spans="1:19" x14ac:dyDescent="0.25">
      <c r="A23" t="s">
        <v>204</v>
      </c>
      <c r="B23" t="s">
        <v>175</v>
      </c>
      <c r="C23" t="s">
        <v>174</v>
      </c>
      <c r="G23" t="s">
        <v>211</v>
      </c>
      <c r="H23" t="s">
        <v>175</v>
      </c>
      <c r="I23" t="s">
        <v>174</v>
      </c>
      <c r="N23">
        <v>4</v>
      </c>
      <c r="O23" t="s">
        <v>285</v>
      </c>
    </row>
    <row r="24" spans="1:19" x14ac:dyDescent="0.25">
      <c r="B24">
        <f>ROUNDUP(widthofroom/detspacing,0)</f>
        <v>1</v>
      </c>
      <c r="C24">
        <f>ROUNDUP(lengthofroom/detspacing,0)</f>
        <v>1</v>
      </c>
      <c r="H24">
        <f>ROUNDUP(widthofroom/sounderspacing,0)</f>
        <v>1</v>
      </c>
      <c r="I24">
        <f>ROUNDUP(lengthofroom/sounderspacing,0)</f>
        <v>1</v>
      </c>
      <c r="N24">
        <v>5</v>
      </c>
      <c r="O24" t="s">
        <v>286</v>
      </c>
    </row>
    <row r="25" spans="1:19" x14ac:dyDescent="0.25">
      <c r="A25" t="s">
        <v>205</v>
      </c>
      <c r="B25">
        <f>+qdetwidth*qdetlength</f>
        <v>1</v>
      </c>
      <c r="G25" t="s">
        <v>212</v>
      </c>
      <c r="H25">
        <f>qsdrwidth*qsdrlength</f>
        <v>1</v>
      </c>
      <c r="N25">
        <v>6</v>
      </c>
      <c r="O25" t="s">
        <v>287</v>
      </c>
      <c r="S25">
        <v>1</v>
      </c>
    </row>
    <row r="26" spans="1:19" x14ac:dyDescent="0.25">
      <c r="A26" s="74" t="s">
        <v>206</v>
      </c>
      <c r="B26" s="75" t="s">
        <v>207</v>
      </c>
      <c r="C26" s="76" t="s">
        <v>208</v>
      </c>
      <c r="G26" s="74" t="s">
        <v>206</v>
      </c>
      <c r="H26" s="75" t="s">
        <v>207</v>
      </c>
      <c r="I26" s="76" t="s">
        <v>208</v>
      </c>
      <c r="N26">
        <v>7</v>
      </c>
      <c r="O26" t="s">
        <v>288</v>
      </c>
    </row>
    <row r="27" spans="1:19" x14ac:dyDescent="0.25">
      <c r="A27" s="74">
        <f>widthofroom/qdetwidth</f>
        <v>5</v>
      </c>
      <c r="B27" s="75">
        <f>lengthofroom/qdetlength</f>
        <v>10</v>
      </c>
      <c r="C27" s="76">
        <f>IF(bestspacingwidth&gt;bestspacinglength,ROUNDUP(bestspacingwidth,1),ROUNDUP(bestspacinglength,1))</f>
        <v>10</v>
      </c>
      <c r="D27" t="str">
        <f>CONCATENATE("Detector quantity - ",detquantity," @ spacing of ",spacingideal,"m")</f>
        <v>Detector quantity - 1 @ spacing of 10m</v>
      </c>
      <c r="G27" s="74">
        <f>widthofroom/qsdrwidth</f>
        <v>5</v>
      </c>
      <c r="H27" s="75">
        <f>lengthofroom/qsdrlength</f>
        <v>10</v>
      </c>
      <c r="I27" s="76">
        <f>IF(bestsdrspacewidth&gt;bestsdrspacelength,ROUNDUP(bestsdrspacewidth,1),ROUNDUP(bestsdrspacelength,1))</f>
        <v>10</v>
      </c>
      <c r="N27">
        <v>8</v>
      </c>
      <c r="O27" t="s">
        <v>289</v>
      </c>
    </row>
    <row r="28" spans="1:19" ht="15.75" thickBot="1" x14ac:dyDescent="0.3">
      <c r="B28" t="str">
        <f>CONCATENATE("Detector spacing = ",spacingideal,"m")</f>
        <v>Detector spacing = 10m</v>
      </c>
      <c r="N28">
        <v>9</v>
      </c>
      <c r="O28" t="s">
        <v>290</v>
      </c>
    </row>
    <row r="29" spans="1:19" x14ac:dyDescent="0.25">
      <c r="A29" s="135" t="s">
        <v>4</v>
      </c>
      <c r="B29" s="136"/>
      <c r="C29" s="136"/>
      <c r="D29" s="53"/>
      <c r="E29" s="54"/>
      <c r="F29" s="56"/>
      <c r="G29" s="135" t="s">
        <v>5</v>
      </c>
      <c r="H29" s="136"/>
      <c r="I29" s="136"/>
      <c r="J29" s="136"/>
      <c r="K29" s="54"/>
      <c r="N29">
        <v>10</v>
      </c>
      <c r="O29" t="s">
        <v>291</v>
      </c>
      <c r="S29">
        <v>1</v>
      </c>
    </row>
    <row r="30" spans="1:19" x14ac:dyDescent="0.25">
      <c r="A30" s="55"/>
      <c r="B30" s="56"/>
      <c r="C30" s="56" t="s">
        <v>8</v>
      </c>
      <c r="D30" s="56" t="s">
        <v>11</v>
      </c>
      <c r="E30" s="57" t="s">
        <v>10</v>
      </c>
      <c r="F30" s="56"/>
      <c r="G30" s="55"/>
      <c r="H30" s="56"/>
      <c r="I30" s="56" t="s">
        <v>8</v>
      </c>
      <c r="J30" s="56" t="s">
        <v>11</v>
      </c>
      <c r="K30" s="57" t="s">
        <v>12</v>
      </c>
      <c r="N30">
        <v>11</v>
      </c>
      <c r="O30" t="s">
        <v>292</v>
      </c>
      <c r="S30">
        <v>1</v>
      </c>
    </row>
    <row r="31" spans="1:19" x14ac:dyDescent="0.25">
      <c r="A31" s="55" t="s">
        <v>17</v>
      </c>
      <c r="B31" s="56">
        <v>1</v>
      </c>
      <c r="C31" s="56" t="s">
        <v>18</v>
      </c>
      <c r="D31" s="56">
        <v>4.5</v>
      </c>
      <c r="E31" s="57">
        <v>14</v>
      </c>
      <c r="F31" s="56"/>
      <c r="G31" s="55" t="s">
        <v>17</v>
      </c>
      <c r="H31" s="56" t="s">
        <v>19</v>
      </c>
      <c r="I31" s="56" t="str">
        <f>CONCATENATE("W-",J31,"-",K31)</f>
        <v>W-6.7-14</v>
      </c>
      <c r="J31" s="56">
        <v>6.7</v>
      </c>
      <c r="K31" s="57">
        <v>14</v>
      </c>
      <c r="N31">
        <v>12</v>
      </c>
      <c r="O31" t="s">
        <v>293</v>
      </c>
    </row>
    <row r="32" spans="1:19" x14ac:dyDescent="0.25">
      <c r="A32" s="55" t="s">
        <v>23</v>
      </c>
      <c r="B32" s="56">
        <v>2</v>
      </c>
      <c r="C32" s="56" t="s">
        <v>24</v>
      </c>
      <c r="D32" s="56">
        <v>4</v>
      </c>
      <c r="E32" s="57">
        <v>13</v>
      </c>
      <c r="F32" s="56"/>
      <c r="G32" s="55" t="s">
        <v>23</v>
      </c>
      <c r="H32" s="56" t="s">
        <v>25</v>
      </c>
      <c r="I32" s="56" t="str">
        <f t="shared" ref="I32:I40" si="2">CONCATENATE("W-",J32,"-",K32)</f>
        <v>W-6.5-12.5</v>
      </c>
      <c r="J32" s="56">
        <v>6.5</v>
      </c>
      <c r="K32" s="57">
        <v>12.5</v>
      </c>
    </row>
    <row r="33" spans="1:11" x14ac:dyDescent="0.25">
      <c r="A33" s="55" t="s">
        <v>27</v>
      </c>
      <c r="B33" s="56">
        <v>3</v>
      </c>
      <c r="C33" s="56" t="s">
        <v>28</v>
      </c>
      <c r="D33" s="56">
        <v>3</v>
      </c>
      <c r="E33" s="57">
        <v>10</v>
      </c>
      <c r="F33" s="56"/>
      <c r="G33" s="55" t="s">
        <v>27</v>
      </c>
      <c r="H33" s="56" t="s">
        <v>29</v>
      </c>
      <c r="I33" s="56" t="str">
        <f t="shared" si="2"/>
        <v>W-5-9.5</v>
      </c>
      <c r="J33" s="56">
        <v>5</v>
      </c>
      <c r="K33" s="57">
        <v>9.5</v>
      </c>
    </row>
    <row r="34" spans="1:11" x14ac:dyDescent="0.25">
      <c r="A34" s="55" t="s">
        <v>33</v>
      </c>
      <c r="B34" s="56">
        <v>4</v>
      </c>
      <c r="C34" s="56" t="s">
        <v>34</v>
      </c>
      <c r="D34" s="56">
        <v>6</v>
      </c>
      <c r="E34" s="57">
        <v>16</v>
      </c>
      <c r="F34" s="56"/>
      <c r="G34" s="55" t="s">
        <v>33</v>
      </c>
      <c r="H34" s="56" t="s">
        <v>19</v>
      </c>
      <c r="I34" s="56" t="str">
        <f t="shared" si="2"/>
        <v>W-5-12.5</v>
      </c>
      <c r="J34" s="56">
        <v>5</v>
      </c>
      <c r="K34" s="57">
        <v>12.5</v>
      </c>
    </row>
    <row r="35" spans="1:11" x14ac:dyDescent="0.25">
      <c r="A35" s="55" t="s">
        <v>36</v>
      </c>
      <c r="B35" s="56">
        <v>5</v>
      </c>
      <c r="C35" s="56" t="s">
        <v>37</v>
      </c>
      <c r="D35" s="56">
        <v>5</v>
      </c>
      <c r="E35" s="57">
        <v>14</v>
      </c>
      <c r="F35" s="56"/>
      <c r="G35" s="55" t="s">
        <v>36</v>
      </c>
      <c r="H35" s="56" t="s">
        <v>25</v>
      </c>
      <c r="I35" s="56" t="str">
        <f t="shared" si="2"/>
        <v>W-4.5-11.3</v>
      </c>
      <c r="J35" s="56">
        <v>4.5</v>
      </c>
      <c r="K35" s="57">
        <v>11.3</v>
      </c>
    </row>
    <row r="36" spans="1:11" x14ac:dyDescent="0.25">
      <c r="A36" s="55" t="s">
        <v>39</v>
      </c>
      <c r="B36" s="56">
        <v>6</v>
      </c>
      <c r="C36" s="56" t="s">
        <v>40</v>
      </c>
      <c r="D36" s="56">
        <v>4</v>
      </c>
      <c r="E36" s="57">
        <v>10.8</v>
      </c>
      <c r="F36" s="56"/>
      <c r="G36" s="55" t="s">
        <v>39</v>
      </c>
      <c r="H36" s="56" t="s">
        <v>29</v>
      </c>
      <c r="I36" s="56" t="str">
        <f t="shared" si="2"/>
        <v>W-3-8.5</v>
      </c>
      <c r="J36" s="56">
        <v>3</v>
      </c>
      <c r="K36" s="57">
        <v>8.5</v>
      </c>
    </row>
    <row r="37" spans="1:11" x14ac:dyDescent="0.25">
      <c r="A37" s="55" t="s">
        <v>42</v>
      </c>
      <c r="B37" s="56">
        <v>7</v>
      </c>
      <c r="C37" s="56" t="s">
        <v>28</v>
      </c>
      <c r="D37" s="56">
        <v>3</v>
      </c>
      <c r="E37" s="57">
        <v>10</v>
      </c>
      <c r="F37" s="56"/>
      <c r="G37" s="55" t="s">
        <v>42</v>
      </c>
      <c r="H37" s="56" t="s">
        <v>43</v>
      </c>
      <c r="I37" s="56" t="str">
        <f t="shared" si="2"/>
        <v>W-3-8.5</v>
      </c>
      <c r="J37" s="56">
        <v>3</v>
      </c>
      <c r="K37" s="57">
        <v>8.5</v>
      </c>
    </row>
    <row r="38" spans="1:11" x14ac:dyDescent="0.25">
      <c r="A38" s="55" t="s">
        <v>44</v>
      </c>
      <c r="B38" s="56"/>
      <c r="C38" s="56" t="s">
        <v>34</v>
      </c>
      <c r="D38" s="56"/>
      <c r="E38" s="57"/>
      <c r="F38" s="56"/>
      <c r="G38" s="55" t="s">
        <v>44</v>
      </c>
      <c r="H38" s="56" t="s">
        <v>19</v>
      </c>
      <c r="I38" s="56" t="str">
        <f t="shared" si="2"/>
        <v>W-5-12.5</v>
      </c>
      <c r="J38" s="56">
        <f>J34</f>
        <v>5</v>
      </c>
      <c r="K38" s="57">
        <f>K34</f>
        <v>12.5</v>
      </c>
    </row>
    <row r="39" spans="1:11" x14ac:dyDescent="0.25">
      <c r="A39" s="55" t="s">
        <v>45</v>
      </c>
      <c r="B39" s="56"/>
      <c r="C39" s="56" t="s">
        <v>18</v>
      </c>
      <c r="D39" s="56"/>
      <c r="E39" s="57"/>
      <c r="F39" s="56"/>
      <c r="G39" s="55" t="s">
        <v>45</v>
      </c>
      <c r="H39" s="56" t="s">
        <v>19</v>
      </c>
      <c r="I39" s="56" t="str">
        <f t="shared" si="2"/>
        <v>W-6.7-14</v>
      </c>
      <c r="J39" s="56">
        <f>+J31</f>
        <v>6.7</v>
      </c>
      <c r="K39" s="57">
        <f>+K31</f>
        <v>14</v>
      </c>
    </row>
    <row r="40" spans="1:11" ht="15.75" thickBot="1" x14ac:dyDescent="0.3">
      <c r="A40" s="58" t="s">
        <v>46</v>
      </c>
      <c r="B40" s="59">
        <v>8</v>
      </c>
      <c r="C40" s="59" t="s">
        <v>28</v>
      </c>
      <c r="D40" s="59">
        <v>3</v>
      </c>
      <c r="E40" s="60">
        <v>10</v>
      </c>
      <c r="F40" s="56"/>
      <c r="G40" s="58" t="s">
        <v>46</v>
      </c>
      <c r="H40" s="59" t="s">
        <v>43</v>
      </c>
      <c r="I40" s="59" t="str">
        <f t="shared" si="2"/>
        <v>W-3-8.5</v>
      </c>
      <c r="J40" s="59">
        <v>3</v>
      </c>
      <c r="K40" s="60">
        <v>8.5</v>
      </c>
    </row>
    <row r="42" spans="1:11" x14ac:dyDescent="0.25">
      <c r="B42" s="71" t="s">
        <v>11</v>
      </c>
      <c r="C42" s="71" t="s">
        <v>10</v>
      </c>
      <c r="D42" s="71" t="s">
        <v>59</v>
      </c>
      <c r="H42" s="71" t="s">
        <v>80</v>
      </c>
      <c r="I42" s="71" t="s">
        <v>59</v>
      </c>
    </row>
    <row r="43" spans="1:11" x14ac:dyDescent="0.25">
      <c r="A43" t="str">
        <f>IF(VADcolour=1,A31,A34)</f>
        <v>White / High Output</v>
      </c>
      <c r="B43" s="72">
        <f>VLOOKUP(A43,cvadrates,4,0)*ceilingcorrfact</f>
        <v>14.399999999999999</v>
      </c>
      <c r="C43" s="72">
        <f>VLOOKUP(A43,cvadrates,5,0)*ceilingcorrfact</f>
        <v>38.4</v>
      </c>
      <c r="D43" s="72">
        <f>ROUND(C43/SQRT(2),1)</f>
        <v>27.2</v>
      </c>
      <c r="E43">
        <v>4</v>
      </c>
      <c r="G43" t="str">
        <f>IF(VADcolour=1,G31,G34)</f>
        <v>White / High Output</v>
      </c>
      <c r="H43" s="71">
        <f>VLOOKUP(G43,wvadrates,4,0)*wallcorrfact</f>
        <v>22</v>
      </c>
      <c r="I43" s="71">
        <f>VLOOKUP(G43,wvadrates,5,0)*wallcorrfact</f>
        <v>55.000000000000007</v>
      </c>
      <c r="J43">
        <v>4</v>
      </c>
    </row>
    <row r="44" spans="1:11" x14ac:dyDescent="0.25">
      <c r="A44" t="str">
        <f>IF(VADcolour=1,A32,A35)</f>
        <v>White / Med Output</v>
      </c>
      <c r="B44" s="72">
        <f>VLOOKUP(A44,cvadrates,4,0)*ceilingcorrfact</f>
        <v>12</v>
      </c>
      <c r="C44" s="72">
        <f>VLOOKUP(A44,cvadrates,5,0)*ceilingcorrfact</f>
        <v>33.6</v>
      </c>
      <c r="D44" s="72">
        <f>ROUND(C44/SQRT(2),1)</f>
        <v>23.8</v>
      </c>
      <c r="E44">
        <v>3</v>
      </c>
      <c r="G44" t="str">
        <f>IF(VADcolour=1,G32,G35)</f>
        <v>White / Med Output</v>
      </c>
      <c r="H44" s="86">
        <f>VLOOKUP(G44,wvadrates,4,0)*wallcorrfact</f>
        <v>19.8</v>
      </c>
      <c r="I44" s="86">
        <f>VLOOKUP(G44,wvadrates,5,0)*wallcorrfact</f>
        <v>49.720000000000006</v>
      </c>
      <c r="J44">
        <v>3</v>
      </c>
    </row>
    <row r="45" spans="1:11" x14ac:dyDescent="0.25">
      <c r="A45" t="str">
        <f>IF(VADcolour=1,A33,A36)</f>
        <v>White / Low Output</v>
      </c>
      <c r="B45" s="72">
        <f>VLOOKUP(A45,cvadrates,4,0)*ceilingcorrfact</f>
        <v>9.6</v>
      </c>
      <c r="C45" s="72">
        <f>VLOOKUP(A45,cvadrates,5,0)*ceilingcorrfact</f>
        <v>25.92</v>
      </c>
      <c r="D45" s="72">
        <f>ROUND(C45/SQRT(2),1)</f>
        <v>18.3</v>
      </c>
      <c r="E45">
        <v>2</v>
      </c>
      <c r="G45" t="str">
        <f>IF(VADcolour=1,G33,G36)</f>
        <v>White / Low Output</v>
      </c>
      <c r="H45" s="86">
        <f>VLOOKUP(G45,wvadrates,4,0)*wallcorrfact</f>
        <v>13.200000000000001</v>
      </c>
      <c r="I45" s="86">
        <f>VLOOKUP(G45,wvadrates,5,0)*wallcorrfact</f>
        <v>37.400000000000006</v>
      </c>
      <c r="J45">
        <v>2</v>
      </c>
    </row>
    <row r="46" spans="1:11" x14ac:dyDescent="0.25">
      <c r="A46" t="str">
        <f>IF(VADcolour=1,A40,A37)</f>
        <v>White / Standard</v>
      </c>
      <c r="B46" s="72">
        <f>VLOOKUP(A46,cvadrates,4,0)*ceilingcorrfact</f>
        <v>7.1999999999999993</v>
      </c>
      <c r="C46" s="72">
        <f>VLOOKUP(A46,cvadrates,5,0)*ceilingcorrfact</f>
        <v>24</v>
      </c>
      <c r="D46" s="72">
        <f>ROUND(C46/SQRT(2),1)</f>
        <v>17</v>
      </c>
      <c r="E46">
        <v>1</v>
      </c>
      <c r="G46" t="str">
        <f>IF(VADcolour=1,G40,G37)</f>
        <v>White / Standard</v>
      </c>
      <c r="H46" s="86">
        <f>VLOOKUP(G46,wvadrates,4,0)*wallcorrfact</f>
        <v>13.200000000000001</v>
      </c>
      <c r="I46" s="86">
        <f>VLOOKUP(G46,wvadrates,5,0)*wallcorrfact</f>
        <v>37.400000000000006</v>
      </c>
      <c r="J46">
        <v>1</v>
      </c>
    </row>
    <row r="47" spans="1:11" x14ac:dyDescent="0.25">
      <c r="A47" t="str">
        <f>IF(VADcolour=1,A39,A38)</f>
        <v>White / High Output ***</v>
      </c>
      <c r="B47" s="72">
        <f>B43</f>
        <v>14.399999999999999</v>
      </c>
      <c r="C47" s="72">
        <f>C43</f>
        <v>38.4</v>
      </c>
      <c r="D47" s="72">
        <f>D43</f>
        <v>27.2</v>
      </c>
      <c r="E47">
        <v>5</v>
      </c>
      <c r="G47" t="str">
        <f>IF(VADcolour=1,G39,G38)</f>
        <v>White / High Output ***</v>
      </c>
      <c r="H47" s="86">
        <f>VLOOKUP(G47,wvadrates,4,0)*wallcorrfact</f>
        <v>22</v>
      </c>
      <c r="I47" s="86">
        <f>VLOOKUP(G47,wvadrates,5,0)*wallcorrfact</f>
        <v>55.000000000000007</v>
      </c>
      <c r="J47">
        <v>5</v>
      </c>
    </row>
    <row r="48" spans="1:11" x14ac:dyDescent="0.25">
      <c r="A48" s="55"/>
    </row>
    <row r="49" spans="1:9" x14ac:dyDescent="0.25">
      <c r="A49" s="34" t="s">
        <v>210</v>
      </c>
    </row>
    <row r="50" spans="1:9" x14ac:dyDescent="0.25">
      <c r="A50" s="77"/>
      <c r="B50" s="78" t="s">
        <v>11</v>
      </c>
      <c r="C50" s="79" t="s">
        <v>59</v>
      </c>
      <c r="G50" s="77"/>
      <c r="H50" s="78" t="s">
        <v>11</v>
      </c>
      <c r="I50" s="79" t="s">
        <v>59</v>
      </c>
    </row>
    <row r="51" spans="1:9" x14ac:dyDescent="0.25">
      <c r="A51" s="80" t="s">
        <v>194</v>
      </c>
      <c r="B51" s="81" t="str">
        <f>IF(Ceilingheight&lt;B46,A46,IF(Ceilingheight&lt;B45,A45,IF(Ceilingheight&lt;B44,A44,IF(Ceilingheight&lt;B43,A43,A47))))</f>
        <v>White / Standard</v>
      </c>
      <c r="C51" s="82" t="str">
        <f>IF(detspacing&lt;D46,A46,IF(detspacing&lt;D45,A45,IF(detspacing&lt;D44,A44,IF(detspacing&lt;D43,A43,A47))))</f>
        <v>White / Standard</v>
      </c>
      <c r="G51" s="80" t="s">
        <v>194</v>
      </c>
      <c r="H51" s="81" t="str">
        <f>IF(WallHeight&lt;=H46,G46,IF(WallHeight&lt;=H45,G45,IF(WallHeight&lt;=H44,G44,IF(WallHeight&lt;=H43,G43,G47))))</f>
        <v>White / Standard</v>
      </c>
      <c r="I51" s="82" t="str">
        <f>IF(detspacing&lt;I46,G46,IF(detspacing&lt;I45,G45,IF(detspacing&lt;I44,G44,IF(detspacing&lt;I43,G43,G47))))</f>
        <v>White / Standard</v>
      </c>
    </row>
    <row r="52" spans="1:9" x14ac:dyDescent="0.25">
      <c r="A52" s="80" t="s">
        <v>195</v>
      </c>
      <c r="B52" s="81" t="str">
        <f>IF(B53&lt;Ceilingheight,A47,IF(B51=A46,A46,B51))</f>
        <v>White / Standard</v>
      </c>
      <c r="C52" s="82" t="str">
        <f>IF(C53&lt;detspacing,A47,IF(C51=A46,A45,C51))</f>
        <v>White / Low Output</v>
      </c>
      <c r="G52" s="80" t="s">
        <v>195</v>
      </c>
      <c r="H52" s="81" t="str">
        <f>IF(H53&lt;WallHeight,G47,IF(H51=G46,G46,H51))</f>
        <v>White / Standard</v>
      </c>
      <c r="I52" s="82" t="str">
        <f>IF(I53&lt;detspacing,G47,IF(I51=G46,G45,I51))</f>
        <v>White / Low Output</v>
      </c>
    </row>
    <row r="53" spans="1:9" x14ac:dyDescent="0.25">
      <c r="A53" s="80" t="s">
        <v>196</v>
      </c>
      <c r="B53" s="81">
        <f>IF(Ceilingheight&lt;B46,B46,IF(Ceilingheight&lt;B45,B45,IF(Ceilingheight&lt;B44,B44,IF(Ceilingheight&lt;B43,B43,B43))))</f>
        <v>7.1999999999999993</v>
      </c>
      <c r="C53" s="82">
        <f>IF(detspacing&lt;D46,D46,IF(detspacing&lt;D45,D45,IF(detspacing&lt;D44,D44,IF(detspacing&lt;D43,D43,D43))))</f>
        <v>17</v>
      </c>
      <c r="G53" s="80" t="s">
        <v>196</v>
      </c>
      <c r="H53" s="81">
        <f>IF(WallHeight&lt;H46,H46,IF(WallHeight&lt;H45,H45,IF(WallHeight&lt;H44,H44,IF(WallHeight&lt;H43,H43,H43))))</f>
        <v>13.200000000000001</v>
      </c>
      <c r="I53" s="82">
        <f>IF(detspacing&lt;I46,I46,IF(detspacing&lt;I45,I45,IF(detspacing&lt;I44,I44,IF(detspacing&lt;I43,I43,I43))))</f>
        <v>37.400000000000006</v>
      </c>
    </row>
    <row r="54" spans="1:9" x14ac:dyDescent="0.25">
      <c r="A54" s="80" t="s">
        <v>197</v>
      </c>
      <c r="B54" s="81">
        <f>VLOOKUP(B56,A43:D47,2,0)</f>
        <v>9.6</v>
      </c>
      <c r="C54" s="82">
        <f>VLOOKUP(B56,A43:D47,4,0)</f>
        <v>18.3</v>
      </c>
      <c r="G54" s="80" t="s">
        <v>197</v>
      </c>
      <c r="H54" s="81">
        <f>VLOOKUP(H52,G43:J47,2,0)</f>
        <v>13.200000000000001</v>
      </c>
      <c r="I54" s="82">
        <f>VLOOKUP(I52,G43:J47,3,0)</f>
        <v>37.400000000000006</v>
      </c>
    </row>
    <row r="55" spans="1:9" x14ac:dyDescent="0.25">
      <c r="A55" s="80"/>
      <c r="B55" s="81">
        <f>VLOOKUP(B52,A43:E47,5,0)</f>
        <v>1</v>
      </c>
      <c r="C55" s="82">
        <f>VLOOKUP(C52,A43:E47,5,0)</f>
        <v>2</v>
      </c>
      <c r="G55" s="80"/>
      <c r="H55" s="81">
        <f>VLOOKUP(H52,G43:K47,4,0)</f>
        <v>1</v>
      </c>
      <c r="I55" s="82">
        <f>VLOOKUP(I52,G43:K47,4,0)</f>
        <v>2</v>
      </c>
    </row>
    <row r="56" spans="1:9" x14ac:dyDescent="0.25">
      <c r="A56" s="80"/>
      <c r="B56" s="81" t="str">
        <f>IF(B55&gt;C55,B52,C52)</f>
        <v>White / Low Output</v>
      </c>
      <c r="C56" s="82"/>
      <c r="G56" s="80"/>
      <c r="H56" s="81" t="str">
        <f>IF(H55&gt;I55,H52,I52)</f>
        <v>White / Low Output</v>
      </c>
      <c r="I56" s="82"/>
    </row>
    <row r="57" spans="1:9" x14ac:dyDescent="0.25">
      <c r="A57" s="83"/>
      <c r="B57" s="84" t="str">
        <f>IF(B55=5,"Check Height","Heigth OK")</f>
        <v>Heigth OK</v>
      </c>
      <c r="C57" s="85" t="str">
        <f>IF(C55=5,"Check Spacing","Spacing OK")</f>
        <v>Spacing OK</v>
      </c>
      <c r="G57" s="83"/>
      <c r="H57" s="84" t="str">
        <f>IF(H55=5,"Check Height","Heigth OK")</f>
        <v>Heigth OK</v>
      </c>
      <c r="I57" s="85" t="str">
        <f>IF(I55=5,"Check Spacing","Spacing OK")</f>
        <v>Spacing OK</v>
      </c>
    </row>
    <row r="59" spans="1:9" x14ac:dyDescent="0.25">
      <c r="A59" s="34" t="s">
        <v>209</v>
      </c>
    </row>
    <row r="60" spans="1:9" x14ac:dyDescent="0.25">
      <c r="A60" s="73" t="s">
        <v>194</v>
      </c>
      <c r="B60" s="73" t="str">
        <f>+B51</f>
        <v>White / Standard</v>
      </c>
      <c r="C60" s="73" t="str">
        <f>IF(spacingideal&lt;D46,A46,IF(spacingideal&lt;D45,A45,IF(spacingideal&lt;D44,A44,IF(spacingideal&lt;D43,A43,A47))))</f>
        <v>White / Standard</v>
      </c>
      <c r="G60" s="73" t="s">
        <v>194</v>
      </c>
      <c r="H60" s="73" t="str">
        <f>+H51</f>
        <v>White / Standard</v>
      </c>
      <c r="I60" s="73" t="str">
        <f>IF(spacingidealsdr&lt;I46,G46,IF(spacingidealsdr&lt;I45,G45,IF(spacingidealsdr&lt;I44,G44,IF(spacingidealsdr&lt;I43,G43,G47))))</f>
        <v>White / Standard</v>
      </c>
    </row>
    <row r="61" spans="1:9" x14ac:dyDescent="0.25">
      <c r="A61" s="73" t="s">
        <v>195</v>
      </c>
      <c r="B61" s="73" t="str">
        <f>+B52</f>
        <v>White / Standard</v>
      </c>
      <c r="C61" s="73" t="str">
        <f>IF(C62&lt;spacingideal,A47,IF(C60=A46,A45,C60))</f>
        <v>White / Low Output</v>
      </c>
      <c r="G61" s="73" t="s">
        <v>195</v>
      </c>
      <c r="H61" s="73" t="str">
        <f>+H52</f>
        <v>White / Standard</v>
      </c>
      <c r="I61" s="73" t="str">
        <f>IF(I62&lt;spacingidealsdr,G47,IF(I60=G46,G46,I60))</f>
        <v>White / Standard</v>
      </c>
    </row>
    <row r="62" spans="1:9" x14ac:dyDescent="0.25">
      <c r="A62" s="73" t="s">
        <v>196</v>
      </c>
      <c r="B62" s="73">
        <f>+B53</f>
        <v>7.1999999999999993</v>
      </c>
      <c r="C62" s="73">
        <f>IF(spacingideal&lt;D46,D46,IF(spacingideal&lt;D45,D45,IF(spacingideal&lt;D44,D44,IF(spacingideal&lt;D43,D43,D43))))</f>
        <v>17</v>
      </c>
      <c r="G62" s="73" t="s">
        <v>196</v>
      </c>
      <c r="H62" s="73">
        <f>+H53</f>
        <v>13.200000000000001</v>
      </c>
      <c r="I62" s="73">
        <f>IF(spacingideal&lt;I46,I46,IF(spacingideal&lt;I45,I45,IF(spacingideal&lt;I44,I44,IF(spacingideal&lt;I43,I43,I43))))</f>
        <v>37.400000000000006</v>
      </c>
    </row>
    <row r="63" spans="1:9" x14ac:dyDescent="0.25">
      <c r="A63" s="73" t="s">
        <v>197</v>
      </c>
      <c r="B63" s="73">
        <f>+B54</f>
        <v>9.6</v>
      </c>
      <c r="C63" s="73">
        <f>VLOOKUP(C61,A43:D47,4,0)</f>
        <v>18.3</v>
      </c>
      <c r="G63" s="73" t="s">
        <v>197</v>
      </c>
      <c r="H63" s="73">
        <f>+H54</f>
        <v>13.200000000000001</v>
      </c>
      <c r="I63" s="73">
        <f>VLOOKUP(I61,G43:J47,3,0)</f>
        <v>37.400000000000006</v>
      </c>
    </row>
    <row r="64" spans="1:9" x14ac:dyDescent="0.25">
      <c r="A64" s="73"/>
      <c r="B64" s="73">
        <f>VLOOKUP(B61,A43:E47,5,0)</f>
        <v>1</v>
      </c>
      <c r="C64" s="73">
        <f>VLOOKUP(C61,A43:E47,5,0)</f>
        <v>2</v>
      </c>
      <c r="G64" s="73"/>
      <c r="H64" s="73">
        <f>VLOOKUP(H61,G43:J47,4,0)</f>
        <v>1</v>
      </c>
      <c r="I64" s="73">
        <f>VLOOKUP(I61,G43:K47,4,0)</f>
        <v>1</v>
      </c>
    </row>
    <row r="65" spans="1:10" x14ac:dyDescent="0.25">
      <c r="A65" s="73"/>
      <c r="B65" s="73" t="str">
        <f>IF(B64&gt;C64,B61,C61)</f>
        <v>White / Low Output</v>
      </c>
      <c r="C65" s="73"/>
      <c r="G65" s="73"/>
      <c r="H65" s="73" t="str">
        <f>IF(H64&gt;I64,H61,I61)</f>
        <v>White / Standard</v>
      </c>
      <c r="I65" s="73"/>
    </row>
    <row r="66" spans="1:10" x14ac:dyDescent="0.25">
      <c r="A66" s="73"/>
      <c r="B66" s="73" t="str">
        <f>IF(B64=5,"Check Height","Heigth OK")</f>
        <v>Heigth OK</v>
      </c>
      <c r="C66" s="73" t="str">
        <f>IF(C64=5,"Check Spacing","Spacing OK")</f>
        <v>Spacing OK</v>
      </c>
      <c r="G66" s="73"/>
      <c r="H66" s="73" t="str">
        <f>IF(H64=5,"Check Height","Heigth OK")</f>
        <v>Heigth OK</v>
      </c>
      <c r="I66" s="73" t="str">
        <f>IF(I64=5,"Check Spacing","Spacing OK")</f>
        <v>Spacing OK</v>
      </c>
    </row>
    <row r="67" spans="1:10" x14ac:dyDescent="0.25">
      <c r="A67" s="73"/>
      <c r="B67" s="73"/>
      <c r="C67" s="73"/>
      <c r="G67" s="73"/>
      <c r="H67" s="73"/>
      <c r="I67" s="73"/>
    </row>
    <row r="68" spans="1:10" x14ac:dyDescent="0.25">
      <c r="A68" s="73"/>
      <c r="B68" s="73"/>
      <c r="C68" s="73"/>
      <c r="G68" s="73"/>
      <c r="H68" s="73"/>
      <c r="I68" s="73"/>
    </row>
    <row r="71" spans="1:10" x14ac:dyDescent="0.25">
      <c r="A71" t="s">
        <v>214</v>
      </c>
      <c r="C71" s="5" t="s">
        <v>228</v>
      </c>
      <c r="H71" t="s">
        <v>276</v>
      </c>
    </row>
    <row r="72" spans="1:10" x14ac:dyDescent="0.25">
      <c r="A72" t="s">
        <v>215</v>
      </c>
      <c r="B72">
        <f>IF(spacingrecc_ceiling&lt;=((C72)*spacingideal),spacingrecc_ceiling,spacingideal)</f>
        <v>10</v>
      </c>
      <c r="C72" s="88">
        <v>1</v>
      </c>
      <c r="G72" t="s">
        <v>59</v>
      </c>
      <c r="H72">
        <f>IF(Wall_Sdr_Y_N =1,IF(spacingreccwall&lt;=((C72)*spacingidealsdr),spacingreccwall,spacingidealsdr),spacingreccwall)</f>
        <v>10</v>
      </c>
    </row>
    <row r="73" spans="1:10" x14ac:dyDescent="0.25">
      <c r="A73" t="s">
        <v>179</v>
      </c>
      <c r="B73" t="s">
        <v>216</v>
      </c>
      <c r="C73" t="s">
        <v>174</v>
      </c>
      <c r="G73" t="s">
        <v>179</v>
      </c>
      <c r="H73" t="s">
        <v>216</v>
      </c>
      <c r="I73" t="s">
        <v>174</v>
      </c>
    </row>
    <row r="74" spans="1:10" x14ac:dyDescent="0.25">
      <c r="B74">
        <f>ROUNDUP(widthofroom/compromisespacing,0)</f>
        <v>1</v>
      </c>
      <c r="C74">
        <f>ROUNDUP(lengthofroom/compromisespacing,0)</f>
        <v>1</v>
      </c>
      <c r="H74">
        <f>ROUNDUP(widthofroom/compromisespacingwall,0)</f>
        <v>1</v>
      </c>
      <c r="I74">
        <f>ROUNDUP(lengthofroom/compromisespacingwall,0)</f>
        <v>1</v>
      </c>
    </row>
    <row r="75" spans="1:10" x14ac:dyDescent="0.25">
      <c r="A75" t="s">
        <v>217</v>
      </c>
      <c r="B75">
        <f>+actqdetresult</f>
        <v>1</v>
      </c>
      <c r="G75" t="s">
        <v>229</v>
      </c>
      <c r="H75">
        <f>+actqtyresultwall</f>
        <v>1</v>
      </c>
    </row>
    <row r="76" spans="1:10" x14ac:dyDescent="0.25">
      <c r="A76" t="s">
        <v>219</v>
      </c>
      <c r="B76">
        <f>ROUND(widthofroom/actqdetwidth,1)</f>
        <v>5</v>
      </c>
      <c r="C76">
        <f>ROUND(lengthofroom/actqdetlength,1)</f>
        <v>10</v>
      </c>
      <c r="D76">
        <f>IF(designcoveragewidth&gt;designcoveragelength,designcoveragewidth,designcoveragelength)</f>
        <v>10</v>
      </c>
      <c r="G76" t="s">
        <v>219</v>
      </c>
      <c r="H76">
        <f>ROUND(widthofroom/actwallwidth,1)</f>
        <v>5</v>
      </c>
      <c r="I76">
        <f>ROUND(lengthofroom/actwalllength,1)</f>
        <v>10</v>
      </c>
      <c r="J76">
        <f>IF(designcoveragewidthw&gt;designcoveragelengthw,designcoveragewidthw,designcoveragelengthw)</f>
        <v>10</v>
      </c>
    </row>
    <row r="77" spans="1:10" x14ac:dyDescent="0.25">
      <c r="A77" t="s">
        <v>218</v>
      </c>
    </row>
    <row r="79" spans="1:10" x14ac:dyDescent="0.25">
      <c r="A79" s="73" t="s">
        <v>194</v>
      </c>
      <c r="B79" t="str">
        <f>+B60</f>
        <v>White / Standard</v>
      </c>
      <c r="C79" t="str">
        <f>IF(correctedidealspacing&lt;=D46,A46,IF(correctedidealspacing&lt;=D45,A45,IF(correctedidealspacing&lt;=D44,A44,IF(correctedidealspacing&lt;=D43,A43,A47))))</f>
        <v>White / Standard</v>
      </c>
      <c r="G79" s="73" t="s">
        <v>194</v>
      </c>
      <c r="H79" t="str">
        <f>+H60</f>
        <v>White / Standard</v>
      </c>
      <c r="I79" t="str">
        <f>IF(correctedidealspacingwall&lt;I46,G46,IF(correctedidealspacingwall&lt;=I45,G45,IF(correctedidealspacingwall&lt;=I44,G44,IF(correctedidealspacingwall&lt;=I43,G43,G47))))</f>
        <v>White / Standard</v>
      </c>
    </row>
    <row r="80" spans="1:10" x14ac:dyDescent="0.25">
      <c r="A80" s="73" t="s">
        <v>195</v>
      </c>
      <c r="B80" t="str">
        <f>+B61</f>
        <v>White / Standard</v>
      </c>
      <c r="C80" t="str">
        <f>IF(C81&lt;=correctedidealspacing,A47,IF(C79=A46,A46,C79))</f>
        <v>White / Standard</v>
      </c>
      <c r="H80" t="str">
        <f>+H61</f>
        <v>White / Standard</v>
      </c>
      <c r="I80" t="str">
        <f>IF(I81&lt;correctedidealspacingwall,G47,IF(I79=G46,G46,I79))</f>
        <v>White / Standard</v>
      </c>
    </row>
    <row r="81" spans="1:14" x14ac:dyDescent="0.25">
      <c r="A81" s="73" t="s">
        <v>220</v>
      </c>
      <c r="B81">
        <f>+B62</f>
        <v>7.1999999999999993</v>
      </c>
      <c r="C81">
        <f>IF(correctedidealspacing&lt;D46,D46,IF(correctedidealspacing&lt;D45,D45,IF(correctedidealspacing&lt;D44,D44,IF(correctedidealspacing&lt;D43,D43,D43))))</f>
        <v>17</v>
      </c>
      <c r="I81">
        <f>IF(correctedidealspacingwall&lt;I46,I46,IF(correctedidealspacingwall&lt;I45,I45,IF(correctedidealspacingwall&lt;I44,I44,IF(correctedidealspacingwall&lt;I43,I43,I43))))</f>
        <v>37.400000000000006</v>
      </c>
      <c r="L81" t="s">
        <v>272</v>
      </c>
    </row>
    <row r="82" spans="1:14" x14ac:dyDescent="0.25">
      <c r="A82" s="73" t="s">
        <v>197</v>
      </c>
      <c r="B82">
        <f>+B63</f>
        <v>9.6</v>
      </c>
      <c r="C82">
        <f>VLOOKUP(C80,A43:D47,4,0)</f>
        <v>17</v>
      </c>
      <c r="I82">
        <f>VLOOKUP(I80,G43:J47,3,0)</f>
        <v>37.400000000000006</v>
      </c>
      <c r="L82" t="b">
        <f>OR(selectedceilingvad="Red / Standard",selectedceilingvad="White / Standard")</f>
        <v>1</v>
      </c>
      <c r="M82" t="b">
        <f>OR(selectedwallvad="White / Standard",selectedwallvad="Red / Standard")</f>
        <v>1</v>
      </c>
    </row>
    <row r="83" spans="1:14" x14ac:dyDescent="0.25">
      <c r="A83" s="73"/>
      <c r="B83">
        <f>VLOOKUP(B80,A43:E47,5,0)</f>
        <v>1</v>
      </c>
      <c r="C83">
        <f>VLOOKUP(C80,A43:E47,5,0)</f>
        <v>1</v>
      </c>
      <c r="H83">
        <f>VLOOKUP(H80,G43:J47,4,0)</f>
        <v>1</v>
      </c>
      <c r="I83">
        <f>VLOOKUP(I80,G43:K47,4,0)</f>
        <v>1</v>
      </c>
      <c r="L83" t="b">
        <f>AND(OR(selectedwallvad="White / Standard",selectedwallvad="Red / Standard",selectedceilingvad="Red / Standard",selectedceilingvad="White / Standard"),OR(selectedVAD="S3-S-VAD-LPW-R",selectedVAD="S3-S-VAD-LPR-R",selectedVAD="S4-711-V-VAD-LPR",selectedVAD="S4-711-V-VAD-LPW"))</f>
        <v>0</v>
      </c>
    </row>
    <row r="84" spans="1:14" x14ac:dyDescent="0.25">
      <c r="A84" s="73"/>
      <c r="B84" s="73" t="str">
        <f>IF(B83&gt;C83,B80,C80)</f>
        <v>White / Standard</v>
      </c>
      <c r="H84" s="73" t="str">
        <f>IF(H83&gt;I83,H80,I80)</f>
        <v>White / Standard</v>
      </c>
      <c r="L84" t="str">
        <f>IF(AND(OR(selectedwallvad="White / Standard",selectedwallvad="Red / Standard",selectedceilingvad="Red / Standard",selectedceilingvad="White / Standard"),OR(selectedVAD="S3-S-VAD-LPW-R",selectedVAD="S3-S-VAD-LPR-R",selectedVAD="S4-711-V-VAD-LPR",selectedVAD="S4-711-V-VAD-LPW")),L86,L85)</f>
        <v>White / Low Power</v>
      </c>
    </row>
    <row r="85" spans="1:14" x14ac:dyDescent="0.25">
      <c r="A85" s="73"/>
      <c r="B85" s="73" t="str">
        <f>IF(B83=5,"Check Height","Heigth OK")</f>
        <v>Heigth OK</v>
      </c>
      <c r="C85" s="73" t="str">
        <f>IF(C83=5,"Check Spacing","Spacing OK")</f>
        <v>Spacing OK</v>
      </c>
      <c r="H85" s="73" t="str">
        <f>IF(H83=5,"Check Height","Heigth OK")</f>
        <v>Heigth OK</v>
      </c>
      <c r="I85" s="73" t="str">
        <f>IF(I83=5,"Check Spacing","Spacing OK")</f>
        <v>Spacing OK</v>
      </c>
      <c r="L85" t="str">
        <f>IF(VADcolour=1,"Red / Low Power","White / Low Power")</f>
        <v>White / Low Power</v>
      </c>
    </row>
    <row r="86" spans="1:14" x14ac:dyDescent="0.25">
      <c r="A86" s="73"/>
      <c r="L86" t="str">
        <f>IF(VADcolour=1,"Red / Standard","White / Standard")</f>
        <v>White / Standard</v>
      </c>
    </row>
    <row r="87" spans="1:14" x14ac:dyDescent="0.25">
      <c r="A87" s="73"/>
    </row>
    <row r="88" spans="1:14" x14ac:dyDescent="0.25">
      <c r="C88" t="str">
        <f>IF(C89="STANDARD",A45,selectedceilingvad)</f>
        <v>White / Low Output</v>
      </c>
      <c r="D88" t="str">
        <f>IF(D90&lt;0.5,"Height OK","Check VAD Mounting Height")</f>
        <v>Height OK</v>
      </c>
      <c r="I88" t="str">
        <f>IF(C89="STANDARD",G45,selectedwallvad)</f>
        <v>White / Low Output</v>
      </c>
    </row>
    <row r="89" spans="1:14" x14ac:dyDescent="0.25">
      <c r="A89" t="s">
        <v>221</v>
      </c>
      <c r="B89" s="72" t="str">
        <f>IF(B84=A47,A43,B84)</f>
        <v>White / Standard</v>
      </c>
      <c r="C89" t="str">
        <f>IF(AND(B79=A46,C79=A46),"STANDARD",selectedceilingvad)</f>
        <v>STANDARD</v>
      </c>
      <c r="D89" t="s">
        <v>227</v>
      </c>
      <c r="H89" t="str">
        <f>IF(H84=G46,G46,H84)</f>
        <v>White / Standard</v>
      </c>
      <c r="I89" t="str">
        <f>IF(AND(H79=G46,I79=G46),"STANDARD",H89)</f>
        <v>STANDARD</v>
      </c>
      <c r="L89" t="s">
        <v>42</v>
      </c>
      <c r="N89" s="92" t="s">
        <v>161</v>
      </c>
    </row>
    <row r="90" spans="1:14" x14ac:dyDescent="0.25">
      <c r="A90" t="s">
        <v>80</v>
      </c>
      <c r="B90" s="72">
        <f>VLOOKUP(B89,A43:B47,2,0)</f>
        <v>7.1999999999999993</v>
      </c>
      <c r="C90">
        <f>VLOOKUP(C88,A43:B47,2,0)</f>
        <v>9.6</v>
      </c>
      <c r="D90">
        <f>IF(Ceilingheight&gt;selectedmaxheight,Ceilingheight-selectedmaxheight,0)</f>
        <v>0</v>
      </c>
      <c r="H90">
        <f>VLOOKUP(H89,G43:H47,2,0)</f>
        <v>13.200000000000001</v>
      </c>
      <c r="I90">
        <f>VLOOKUP(I88,G43:H47,2,0)</f>
        <v>13.200000000000001</v>
      </c>
      <c r="L90" t="s">
        <v>46</v>
      </c>
      <c r="N90" s="92" t="s">
        <v>163</v>
      </c>
    </row>
    <row r="91" spans="1:14" x14ac:dyDescent="0.25">
      <c r="A91" t="s">
        <v>222</v>
      </c>
      <c r="B91" s="72">
        <f>VLOOKUP(B89,A43:D47,4,0)</f>
        <v>17</v>
      </c>
      <c r="C91">
        <f>VLOOKUP(C88,A43:D47,4,0)</f>
        <v>18.3</v>
      </c>
      <c r="H91">
        <f>VLOOKUP(H89,G43:I47,3,0)</f>
        <v>37.400000000000006</v>
      </c>
      <c r="I91">
        <f>VLOOKUP(I88,G43:I47,3,0)</f>
        <v>37.400000000000006</v>
      </c>
      <c r="N91" s="40" t="s">
        <v>106</v>
      </c>
    </row>
    <row r="92" spans="1:14" x14ac:dyDescent="0.25">
      <c r="A92" t="s">
        <v>179</v>
      </c>
      <c r="B92" s="87">
        <f>+actqdetwidth*actqdetlength</f>
        <v>1</v>
      </c>
      <c r="G92" t="s">
        <v>179</v>
      </c>
      <c r="H92" s="87">
        <f>actwallwidth*actwalllength</f>
        <v>1</v>
      </c>
      <c r="N92" s="40" t="s">
        <v>81</v>
      </c>
    </row>
    <row r="93" spans="1:14" x14ac:dyDescent="0.25">
      <c r="A93" t="s">
        <v>223</v>
      </c>
      <c r="B93" s="72" t="str">
        <f>VLOOKUP(B89,A31:C40,3,0)</f>
        <v>C-3-10</v>
      </c>
      <c r="C93" t="str">
        <f>VLOOKUP(C88,A31:C40,3,0)</f>
        <v>C-4-10.8</v>
      </c>
      <c r="H93" t="str">
        <f>VLOOKUP(H89,G31:I40,3,0)</f>
        <v>W-3-8.5</v>
      </c>
      <c r="I93" t="str">
        <f>VLOOKUP(I88,G31:I40,3,0)</f>
        <v>W-3-8.5</v>
      </c>
      <c r="L93">
        <f>IF(OR(selectedwallvad="White / Standard",selectedwallvad="Red / Standard"),,selectedwallvad)</f>
        <v>0</v>
      </c>
    </row>
    <row r="94" spans="1:14" x14ac:dyDescent="0.25">
      <c r="A94" t="s">
        <v>224</v>
      </c>
      <c r="B94" s="72" t="str">
        <f>CONCATENATE("C-",ROUNDUP(B90,1),"-",ROUNDUP(SQRT(2)*B91,1))</f>
        <v>C-7.2-24.1</v>
      </c>
      <c r="C94" t="str">
        <f>CONCATENATE("C - ",ROUNDUP(C90,1)," - ",ROUNDUP(SQRT(2)*C91,1))</f>
        <v>C - 9.6 - 25.9</v>
      </c>
      <c r="H94" t="str">
        <f>CONCATENATE("W - ",ROUNDUP(H90,1)," - ",ROUNDUP(H91,1))</f>
        <v>W - 13.2 - 37.4</v>
      </c>
      <c r="I94" t="str">
        <f>CONCATENATE("W - ",ROUNDUP(I90,1)," - ",ROUNDUP(I91,1))</f>
        <v>W - 13.2 - 37.4</v>
      </c>
      <c r="M94" t="b">
        <f>OR(selectedVAD="S3-S-VAD-LPW-R",selectedVAD="S3-S-VAD-LPR-R",selectedVAD="S4-711-V-VAD-LPR",selectedVAD="S4-711-V-VAD-LPW")</f>
        <v>0</v>
      </c>
    </row>
    <row r="95" spans="1:14" x14ac:dyDescent="0.25">
      <c r="A95" t="s">
        <v>225</v>
      </c>
      <c r="B95" t="str">
        <f>+VADcolourtext</f>
        <v>White</v>
      </c>
      <c r="H95" t="str">
        <f>+VADcolourtext</f>
        <v>White</v>
      </c>
      <c r="L95" t="b">
        <f>IF(AND(OR(selectedwallvad="White / Standard",selectedwallvad="Red / Standard"),OR(selectedVAD="S3-S-VAD-LPW-R",selectedVAD="S3-S-VAD-LPR-R",selectedVAD="S4-711-V-VAD-LPR",selectedVAD="S4-711-V-VAD-LPW")),selectedwallvad)</f>
        <v>0</v>
      </c>
    </row>
    <row r="96" spans="1:14" x14ac:dyDescent="0.25">
      <c r="A96" t="s">
        <v>226</v>
      </c>
      <c r="B96" t="str">
        <f>+Lineofsighttext</f>
        <v>Direct</v>
      </c>
      <c r="H96" t="str">
        <f>+Lineofsighttext</f>
        <v>Direct</v>
      </c>
    </row>
    <row r="97" spans="1:10" x14ac:dyDescent="0.25">
      <c r="A97" t="s">
        <v>183</v>
      </c>
      <c r="B97">
        <f>+Ceilingheight</f>
        <v>2.5</v>
      </c>
      <c r="G97" t="s">
        <v>231</v>
      </c>
      <c r="H97">
        <f>+WallHeight</f>
        <v>2.4</v>
      </c>
    </row>
    <row r="98" spans="1:10" x14ac:dyDescent="0.25">
      <c r="A98" t="s">
        <v>256</v>
      </c>
      <c r="B98">
        <f>correctedidealspacing</f>
        <v>10</v>
      </c>
    </row>
    <row r="100" spans="1:10" x14ac:dyDescent="0.25">
      <c r="J100" s="39" t="s">
        <v>296</v>
      </c>
    </row>
    <row r="101" spans="1:10" x14ac:dyDescent="0.25">
      <c r="I101" t="str">
        <f>IF(wallactive=1,"",)</f>
        <v/>
      </c>
    </row>
    <row r="102" spans="1:10" x14ac:dyDescent="0.25">
      <c r="C102" t="str">
        <f>+selectedviewceiling</f>
        <v>Direct</v>
      </c>
      <c r="G102" t="str">
        <f>+colourselected</f>
        <v>White</v>
      </c>
      <c r="I102" t="str">
        <f>IF(wallceilingselected=TRUE,"",IF(Wall_Sdr_Y_N=0,"none",IF(wallactive=1,IF(VADcolour=2,IF(selectedwallvad="White / Standard",'Table 1'!S137,'Table 1'!S145),IF(selectedwallvad="Red / Standard",'Table 1'!S122,'Table 1'!S130)),IF(VADcolour=2,"",""))))</f>
        <v/>
      </c>
    </row>
    <row r="103" spans="1:10" x14ac:dyDescent="0.25">
      <c r="D103" t="str">
        <f>ambientdesc</f>
        <v>Well Below Average  (100 to 200 Lux)</v>
      </c>
      <c r="I103" t="str">
        <f>IF(VADcolour = 2,IF(selectedceilingvad ="White / Standard",'Table 1'!S101,'Table 1'!S110),IF(selectedceilingvad ="Red / Standard",'Table 1'!S86,'Table 1'!S94))</f>
        <v>S4-711-VAD-HPW (O2H Sensor  - White VAD )</v>
      </c>
    </row>
    <row r="104" spans="1:10" x14ac:dyDescent="0.25">
      <c r="I104" t="str">
        <f>IF(VADcolour = 2,IF(selectedwallvad="White / Standard",'Table 1'!S132,'Table 1'!S140),IF(selectedwallvad="Red / Standard",'Table 1'!S117,'Table 1'!S125))</f>
        <v>S3-VAD-HPW-R (S3 VAD/HP White VAD/Red body)</v>
      </c>
    </row>
    <row r="105" spans="1:10" x14ac:dyDescent="0.25">
      <c r="B105" t="s">
        <v>232</v>
      </c>
      <c r="C105" t="s">
        <v>233</v>
      </c>
    </row>
    <row r="107" spans="1:10" x14ac:dyDescent="0.25">
      <c r="B107" t="s">
        <v>260</v>
      </c>
    </row>
    <row r="108" spans="1:10" x14ac:dyDescent="0.25">
      <c r="A108" t="s">
        <v>259</v>
      </c>
      <c r="B108" s="92">
        <v>1</v>
      </c>
      <c r="C108" s="92" t="str">
        <f>IF(wallceilingselected=TRUE,"",IF(wallactive=1,IF(VADcolour = 2,IF(Wall_Sdr_Y_N=0,'Table 1'!S152,IF(selectedwallvad="White / Standard",'Table 1'!S132,'Table 1'!S140)),IF(Wall_Sdr_Y_N=0,'Table 1'!S148,IF(selectedwallvad="Red / Standard",'Table 1'!S117,'Table 1'!S125))),IF(VADcolour = 2,IF(selectedceilingvad ="White / Standard",'Table 1'!S101,'Table 1'!S110),IF(selectedceilingvad ="Red / Standard",'Table 1'!S86,'Table 1'!S94))))</f>
        <v/>
      </c>
      <c r="D108" s="92"/>
      <c r="E108" s="92"/>
      <c r="F108" s="92"/>
      <c r="G108" s="92"/>
      <c r="H108" s="92" t="str">
        <f>IF(wallceilingselected=TRUE,"",IF(wallactive=1,IF(VADcolour = 2,IF(Wall_Sdr_Y_N=0,'Table 1'!Q152,IF(selectedwallvad="White / Standard",'Table 1'!Q132,'Table 1'!Q140)),IF(Wall_Sdr_Y_N=0,'Table 1'!Q148,IF(selectedwallvad="Red / Standard",'Table 1'!Q117,'Table 1'!Q125))),IF(VADcolour = 2,IF(selectedceilingvad ="White / Standard",'Table 1'!Q101,'Table 1'!Q110),IF(selectedceilingvad ="Red / Standard",'Table 1'!Q86,'Table 1'!Q94))))</f>
        <v/>
      </c>
    </row>
    <row r="109" spans="1:10" x14ac:dyDescent="0.25">
      <c r="B109" s="92">
        <v>2</v>
      </c>
      <c r="C109" s="92" t="str">
        <f>IF(wallceilingselected=TRUE,"",IF(wallactive=1,IF(VADcolour = 2,IF(Wall_Sdr_Y_N=0,'Table 1'!S153,IF(selectedwallvad="White / Standard",'Table 1'!S133,'Table 1'!S141)),IF(Wall_Sdr_Y_N=0,'Table 1'!S149,IF(selectedwallvad="Red / Standard",'Table 1'!S118,'Table 1'!S126))),IF(VADcolour = 2,IF(selectedceilingvad ="White / Standard",'Table 1'!S102,'Table 1'!S111),IF(selectedceilingvad ="Red / Standard",'Table 1'!S87,'Table 1'!S95))))</f>
        <v/>
      </c>
      <c r="D109" s="92"/>
      <c r="E109" s="92"/>
      <c r="F109" s="92"/>
      <c r="G109" s="92"/>
      <c r="H109" s="92" t="str">
        <f>IF(wallceilingselected=TRUE,"",IF(wallactive=1,IF(VADcolour = 2,IF(Wall_Sdr_Y_N=0,'Table 1'!Q153,IF(selectedwallvad="White / Standard",'Table 1'!Q133,'Table 1'!Q141)),IF(Wall_Sdr_Y_N=0,'Table 1'!Q149,IF(selectedwallvad="Red / Standard",'Table 1'!Q118,'Table 1'!Q126))),IF(VADcolour = 2,IF(selectedceilingvad ="White / Standard",'Table 1'!Q102,'Table 1'!Q111),IF(selectedceilingvad ="Red / Standard",'Table 1'!Q87,'Table 1'!Q95))))</f>
        <v/>
      </c>
    </row>
    <row r="110" spans="1:10" x14ac:dyDescent="0.25">
      <c r="B110" s="92">
        <v>3</v>
      </c>
      <c r="C110" s="92" t="str">
        <f>IF(wallceilingselected=TRUE,"",IF(wallactive=1,IF(VADcolour = 2,IF(Wall_Sdr_Y_N=0,"",IF(selectedwallvad="White / Standard",'Table 1'!S134,'Table 1'!S142)),IF(Wall_Sdr_Y_N=0,"",IF(selectedwallvad="Red / Standard",'Table 1'!S119,'Table 1'!S127))),IF(VADcolour = 2,IF(selectedceilingvad ="White / Standard",'Table 1'!S103,'Table 1'!S112),IF(selectedceilingvad ="Red / Standard",'Table 1'!S88,'Table 1'!S96))))</f>
        <v/>
      </c>
      <c r="D110" s="92"/>
      <c r="E110" s="92"/>
      <c r="F110" s="92"/>
      <c r="G110" s="92"/>
      <c r="H110" s="92" t="str">
        <f>IF(wallceilingselected=TRUE,"",IF(wallactive=1,IF(VADcolour = 2,IF(Wall_Sdr_Y_N=0,"",IF(selectedwallvad="White / Standard",'Table 1'!Q134,'Table 1'!Q142)),IF(Wall_Sdr_Y_N=0,"",IF(selectedwallvad="Red / Standard",'Table 1'!Q119,'Table 1'!Q127))),IF(VADcolour = 2,IF(selectedceilingvad ="White / Standard",'Table 1'!Q103,'Table 1'!Q112),IF(selectedceilingvad ="Red / Standard",'Table 1'!Q88,'Table 1'!Q96))))</f>
        <v/>
      </c>
    </row>
    <row r="111" spans="1:10" x14ac:dyDescent="0.25">
      <c r="B111" s="92">
        <v>4</v>
      </c>
      <c r="C111" s="92" t="str">
        <f>IF(wallceilingselected=TRUE,"",IF(wallactive=1,IF(VADcolour = 2,IF(Wall_Sdr_Y_N=0,"",IF(selectedwallvad="White / Standard",'Table 1'!S135,'Table 1'!S143)),IF(Wall_Sdr_Y_N=0,"",IF(selectedwallvad="Red / Standard",'Table 1'!S120,'Table 1'!S128))),IF(VADcolour = 2,IF(selectedceilingvad ="White / Standard",'Table 1'!S104,'Table 1'!S113),IF(selectedceilingvad ="Red / Standard",'Table 1'!S89,'Table 1'!S97))))</f>
        <v/>
      </c>
      <c r="D111" s="92"/>
      <c r="E111" s="92"/>
      <c r="F111" s="92"/>
      <c r="G111" s="92"/>
      <c r="H111" s="92" t="str">
        <f>IF(wallceilingselected=TRUE,"",IF(wallactive=1,IF(VADcolour = 2,IF(Wall_Sdr_Y_N=0,"",IF(selectedwallvad="White / Standard",'Table 1'!Q135,'Table 1'!Q143)),IF(Wall_Sdr_Y_N=0,"",IF(selectedwallvad="Red / Standard",'Table 1'!Q120,'Table 1'!Q128))),IF(VADcolour = 2,IF(selectedceilingvad ="White / Standard",'Table 1'!Q104,'Table 1'!Q113),IF(selectedceilingvad ="Red / Standard",'Table 1'!Q89,'Table 1'!Q97))))</f>
        <v/>
      </c>
    </row>
    <row r="112" spans="1:10" x14ac:dyDescent="0.25">
      <c r="B112" s="92">
        <v>5</v>
      </c>
      <c r="C112" s="92" t="str">
        <f>IF(wallceilingselected=TRUE,"",IF(wallactive=1,IF(VADcolour = 2,IF(Wall_Sdr_Y_N=0,"",IF(selectedwallvad="White / Standard",'Table 1'!S136,'Table 1'!S144)),IF(Wall_Sdr_Y_N=0,"",IF(selectedwallvad="Red / Standard",'Table 1'!S121,'Table 1'!S129))),IF(VADcolour = 2,IF(selectedceilingvad ="White / Standard",'Table 1'!S105,""),IF(selectedceilingvad ="Red / Standard",'Table 1'!S90,""))))</f>
        <v/>
      </c>
      <c r="D112" s="92"/>
      <c r="E112" s="92"/>
      <c r="F112" s="92"/>
      <c r="G112" s="92"/>
      <c r="H112" s="92" t="str">
        <f>IF(wallceilingselected=TRUE,"",IF(wallactive=1,IF(VADcolour = 2,IF(Wall_Sdr_Y_N=0,"",IF(selectedwallvad="White / Standard",'Table 1'!Q136,'Table 1'!Q144)),IF(Wall_Sdr_Y_N=0,"",IF(selectedwallvad="Red / Standard",'Table 1'!Q121,'Table 1'!Q129))),IF(VADcolour = 2,IF(selectedceilingvad ="White / Standard",'Table 1'!Q105,""),IF(selectedceilingvad ="Red / Standard",'Table 1'!Q90,""))))</f>
        <v/>
      </c>
    </row>
    <row r="113" spans="1:12" x14ac:dyDescent="0.25">
      <c r="B113" s="92">
        <v>6</v>
      </c>
      <c r="C113" s="92" t="str">
        <f>IF(wallceilingselected=TRUE,"",IF(Wall_Sdr_Y_N=0,"",IF(wallactive=1,IF(VADcolour=2,IF(selectedwallvad="White / Standard",'Table 1'!S137,'Table 1'!S145),IF(selectedwallvad="Red / Standard",'Table 1'!S122,'Table 1'!S130)),IF(VADcolour=2,"",""))))</f>
        <v/>
      </c>
      <c r="D113" s="92"/>
      <c r="E113" s="92"/>
      <c r="F113" s="92"/>
      <c r="G113" s="92"/>
      <c r="H113" s="92" t="str">
        <f>IF(wallceilingselected=TRUE,"",IF(Wall_Sdr_Y_N=0,"",IF(wallactive=1,IF(VADcolour=2,IF(selectedwallvad="White / Standard",'Table 1'!Q137,'Table 1'!Q145),IF(selectedwallvad="Red / Standard",'Table 1'!Q122,'Table 1'!Q130)),IF(VADcolour=2,"",""))))</f>
        <v/>
      </c>
    </row>
    <row r="114" spans="1:12" x14ac:dyDescent="0.25">
      <c r="B114" s="92">
        <v>7</v>
      </c>
      <c r="C114" s="92" t="str">
        <f>IF(wallceilingselected=TRUE,"",IF(Wall_Sdr_Y_N=0,"",IF(wallactive=1,IF(VADcolour=2,IF(selectedwallvad="White / Standard",'Table 1'!S138,""),IF(selectedwallvad="Red / Standard",'Table 1'!S123,"")),IF(VADcolour=2,"",""))))</f>
        <v/>
      </c>
      <c r="D114" s="92"/>
      <c r="E114" s="92"/>
      <c r="F114" s="92"/>
      <c r="G114" s="92"/>
      <c r="H114" s="92" t="str">
        <f>IF(wallceilingselected=TRUE,"",IF(Wall_Sdr_Y_N=0,"",IF(wallactive=1,IF(VADcolour=2,IF(selectedwallvad="White / Standard",'Table 1'!Q138,'Table 1'!Q146),IF(selectedwallvad="Red / Standard",'Table 1'!Q123,'Table 1'!Q131)),IF(VADcolour=2,"",""))))</f>
        <v/>
      </c>
    </row>
    <row r="115" spans="1:12" x14ac:dyDescent="0.25">
      <c r="D115" t="s">
        <v>240</v>
      </c>
      <c r="H115" t="s">
        <v>235</v>
      </c>
    </row>
    <row r="116" spans="1:12" x14ac:dyDescent="0.25">
      <c r="D116" t="s">
        <v>15</v>
      </c>
      <c r="F116" t="s">
        <v>21</v>
      </c>
      <c r="I116" t="s">
        <v>234</v>
      </c>
      <c r="K116" t="s">
        <v>22</v>
      </c>
    </row>
    <row r="117" spans="1:12" x14ac:dyDescent="0.25">
      <c r="A117" t="s">
        <v>238</v>
      </c>
      <c r="B117" t="s">
        <v>239</v>
      </c>
      <c r="D117" t="s">
        <v>22</v>
      </c>
      <c r="E117" t="s">
        <v>16</v>
      </c>
      <c r="F117" t="s">
        <v>22</v>
      </c>
      <c r="G117" t="s">
        <v>16</v>
      </c>
      <c r="I117" t="s">
        <v>232</v>
      </c>
      <c r="J117" t="s">
        <v>233</v>
      </c>
      <c r="K117" t="s">
        <v>232</v>
      </c>
      <c r="L117" t="s">
        <v>233</v>
      </c>
    </row>
    <row r="118" spans="1:12" x14ac:dyDescent="0.25">
      <c r="A118">
        <v>0</v>
      </c>
      <c r="B118">
        <v>2</v>
      </c>
      <c r="C118">
        <v>50</v>
      </c>
      <c r="D118">
        <v>1</v>
      </c>
      <c r="E118">
        <v>4</v>
      </c>
      <c r="F118">
        <v>1</v>
      </c>
      <c r="G118">
        <v>4</v>
      </c>
      <c r="H118">
        <v>50</v>
      </c>
      <c r="I118">
        <v>3</v>
      </c>
      <c r="J118">
        <v>4</v>
      </c>
      <c r="K118">
        <v>3</v>
      </c>
      <c r="L118">
        <v>1</v>
      </c>
    </row>
    <row r="119" spans="1:12" x14ac:dyDescent="0.25">
      <c r="A119">
        <v>0</v>
      </c>
      <c r="B119">
        <v>2</v>
      </c>
      <c r="C119">
        <v>150</v>
      </c>
      <c r="D119">
        <v>1</v>
      </c>
      <c r="E119">
        <v>4</v>
      </c>
      <c r="F119">
        <v>1</v>
      </c>
      <c r="G119">
        <v>4</v>
      </c>
      <c r="H119">
        <v>150</v>
      </c>
      <c r="I119">
        <v>3</v>
      </c>
      <c r="J119">
        <v>4</v>
      </c>
      <c r="K119">
        <v>3</v>
      </c>
      <c r="L119">
        <v>1</v>
      </c>
    </row>
    <row r="120" spans="1:12" x14ac:dyDescent="0.25">
      <c r="A120">
        <v>3</v>
      </c>
      <c r="B120">
        <v>2</v>
      </c>
      <c r="C120">
        <v>250</v>
      </c>
      <c r="D120">
        <v>1</v>
      </c>
      <c r="E120">
        <v>4</v>
      </c>
      <c r="F120">
        <v>2</v>
      </c>
      <c r="G120">
        <v>6</v>
      </c>
      <c r="H120">
        <v>250</v>
      </c>
      <c r="I120">
        <v>3</v>
      </c>
      <c r="J120">
        <v>6</v>
      </c>
      <c r="K120">
        <v>3</v>
      </c>
      <c r="L120">
        <v>2</v>
      </c>
    </row>
    <row r="121" spans="1:12" x14ac:dyDescent="0.25">
      <c r="A121">
        <v>3</v>
      </c>
      <c r="B121">
        <v>4</v>
      </c>
      <c r="C121">
        <v>350</v>
      </c>
      <c r="D121">
        <v>1</v>
      </c>
      <c r="E121">
        <v>4</v>
      </c>
      <c r="F121">
        <v>2</v>
      </c>
      <c r="G121">
        <v>6</v>
      </c>
      <c r="H121">
        <v>350</v>
      </c>
      <c r="I121">
        <v>4</v>
      </c>
      <c r="J121">
        <v>6</v>
      </c>
      <c r="K121">
        <v>3</v>
      </c>
      <c r="L121">
        <v>2</v>
      </c>
    </row>
    <row r="122" spans="1:12" x14ac:dyDescent="0.25">
      <c r="A122">
        <v>4</v>
      </c>
      <c r="B122">
        <v>6</v>
      </c>
      <c r="C122">
        <v>450</v>
      </c>
      <c r="D122">
        <v>1</v>
      </c>
      <c r="E122">
        <v>4</v>
      </c>
      <c r="F122">
        <v>4</v>
      </c>
      <c r="G122">
        <v>12</v>
      </c>
      <c r="H122">
        <v>450</v>
      </c>
      <c r="I122">
        <v>4</v>
      </c>
      <c r="J122">
        <v>12</v>
      </c>
      <c r="K122">
        <v>3</v>
      </c>
      <c r="L122">
        <v>4</v>
      </c>
    </row>
    <row r="123" spans="1:12" x14ac:dyDescent="0.25">
      <c r="A123">
        <v>4</v>
      </c>
      <c r="B123">
        <v>6</v>
      </c>
      <c r="C123">
        <v>550</v>
      </c>
      <c r="D123">
        <v>2</v>
      </c>
      <c r="E123">
        <v>6</v>
      </c>
      <c r="F123">
        <v>4</v>
      </c>
      <c r="G123">
        <v>20</v>
      </c>
      <c r="H123">
        <v>550</v>
      </c>
      <c r="I123">
        <v>4</v>
      </c>
      <c r="J123">
        <v>20</v>
      </c>
      <c r="K123">
        <v>3</v>
      </c>
      <c r="L123">
        <v>4</v>
      </c>
    </row>
    <row r="124" spans="1:12" x14ac:dyDescent="0.25">
      <c r="A124">
        <v>4</v>
      </c>
      <c r="B124">
        <v>6</v>
      </c>
      <c r="C124">
        <v>650</v>
      </c>
      <c r="D124">
        <v>4</v>
      </c>
      <c r="E124">
        <v>9</v>
      </c>
      <c r="F124">
        <v>6</v>
      </c>
      <c r="G124">
        <v>20</v>
      </c>
      <c r="H124">
        <v>650</v>
      </c>
      <c r="I124">
        <v>4</v>
      </c>
      <c r="J124">
        <v>20</v>
      </c>
      <c r="K124">
        <v>3</v>
      </c>
      <c r="L124">
        <v>6</v>
      </c>
    </row>
    <row r="125" spans="1:12" x14ac:dyDescent="0.25">
      <c r="A125">
        <v>4</v>
      </c>
      <c r="B125">
        <v>6</v>
      </c>
      <c r="C125">
        <v>750</v>
      </c>
      <c r="D125">
        <v>6</v>
      </c>
      <c r="E125">
        <v>20</v>
      </c>
      <c r="F125">
        <v>6</v>
      </c>
      <c r="G125">
        <v>35</v>
      </c>
      <c r="H125">
        <v>750</v>
      </c>
      <c r="I125">
        <v>4</v>
      </c>
      <c r="J125">
        <v>35</v>
      </c>
      <c r="K125">
        <v>3</v>
      </c>
      <c r="L125">
        <v>6</v>
      </c>
    </row>
    <row r="127" spans="1:12" x14ac:dyDescent="0.25">
      <c r="D127" t="s">
        <v>236</v>
      </c>
      <c r="E127" t="s">
        <v>237</v>
      </c>
    </row>
    <row r="131" spans="1:8" x14ac:dyDescent="0.25">
      <c r="A131">
        <v>1</v>
      </c>
      <c r="B131">
        <v>4</v>
      </c>
      <c r="C131">
        <v>1</v>
      </c>
    </row>
    <row r="132" spans="1:8" x14ac:dyDescent="0.25">
      <c r="A132">
        <v>1</v>
      </c>
      <c r="B132">
        <v>4</v>
      </c>
      <c r="C132">
        <v>1</v>
      </c>
    </row>
    <row r="133" spans="1:8" x14ac:dyDescent="0.25">
      <c r="A133">
        <v>1</v>
      </c>
      <c r="B133">
        <v>4</v>
      </c>
      <c r="C133">
        <v>1</v>
      </c>
      <c r="D133" t="s">
        <v>232</v>
      </c>
      <c r="E133">
        <v>1</v>
      </c>
      <c r="F133">
        <v>50</v>
      </c>
      <c r="H133">
        <v>2</v>
      </c>
    </row>
    <row r="134" spans="1:8" x14ac:dyDescent="0.25">
      <c r="A134">
        <v>3</v>
      </c>
      <c r="B134">
        <v>4</v>
      </c>
      <c r="C134">
        <v>1</v>
      </c>
      <c r="D134">
        <v>0</v>
      </c>
      <c r="E134">
        <v>1</v>
      </c>
      <c r="F134">
        <v>150</v>
      </c>
      <c r="G134">
        <v>1</v>
      </c>
      <c r="H134">
        <v>2</v>
      </c>
    </row>
    <row r="135" spans="1:8" x14ac:dyDescent="0.25">
      <c r="A135">
        <v>3</v>
      </c>
      <c r="B135">
        <v>4</v>
      </c>
      <c r="C135">
        <v>1</v>
      </c>
      <c r="D135">
        <v>0</v>
      </c>
      <c r="E135">
        <v>1</v>
      </c>
      <c r="F135">
        <v>250</v>
      </c>
      <c r="G135">
        <v>1</v>
      </c>
      <c r="H135">
        <v>2</v>
      </c>
    </row>
    <row r="136" spans="1:8" x14ac:dyDescent="0.25">
      <c r="A136">
        <v>3</v>
      </c>
      <c r="B136">
        <v>6</v>
      </c>
      <c r="C136">
        <v>2</v>
      </c>
      <c r="D136">
        <v>0</v>
      </c>
      <c r="E136">
        <v>1</v>
      </c>
      <c r="F136">
        <v>350</v>
      </c>
      <c r="G136">
        <v>1</v>
      </c>
      <c r="H136">
        <v>2</v>
      </c>
    </row>
    <row r="137" spans="1:8" x14ac:dyDescent="0.25">
      <c r="A137">
        <v>4</v>
      </c>
      <c r="B137">
        <v>9</v>
      </c>
      <c r="C137">
        <v>2</v>
      </c>
      <c r="D137">
        <v>0</v>
      </c>
      <c r="E137">
        <v>1</v>
      </c>
      <c r="F137">
        <v>450</v>
      </c>
      <c r="G137">
        <v>3</v>
      </c>
      <c r="H137">
        <v>2</v>
      </c>
    </row>
    <row r="138" spans="1:8" x14ac:dyDescent="0.25">
      <c r="A138">
        <v>4</v>
      </c>
      <c r="B138">
        <v>20</v>
      </c>
      <c r="C138">
        <v>2</v>
      </c>
      <c r="D138">
        <v>2</v>
      </c>
      <c r="E138">
        <v>1</v>
      </c>
      <c r="F138">
        <v>550</v>
      </c>
      <c r="G138">
        <v>3</v>
      </c>
      <c r="H138">
        <v>2</v>
      </c>
    </row>
    <row r="139" spans="1:8" x14ac:dyDescent="0.25">
      <c r="D139">
        <v>3</v>
      </c>
      <c r="E139">
        <v>1</v>
      </c>
      <c r="F139">
        <v>650</v>
      </c>
      <c r="G139">
        <v>4</v>
      </c>
      <c r="H139">
        <v>4</v>
      </c>
    </row>
    <row r="140" spans="1:8" x14ac:dyDescent="0.25">
      <c r="D140">
        <v>3</v>
      </c>
      <c r="E140">
        <v>2</v>
      </c>
      <c r="F140">
        <v>750</v>
      </c>
      <c r="G140">
        <v>4</v>
      </c>
      <c r="H140">
        <v>6</v>
      </c>
    </row>
  </sheetData>
  <mergeCells count="6">
    <mergeCell ref="L10:P10"/>
    <mergeCell ref="A29:C29"/>
    <mergeCell ref="G29:J29"/>
    <mergeCell ref="G3:H3"/>
    <mergeCell ref="A14:E14"/>
    <mergeCell ref="G14:K14"/>
  </mergeCells>
  <conditionalFormatting sqref="N91">
    <cfRule type="cellIs" dxfId="1" priority="2" operator="equal">
      <formula>"??"</formula>
    </cfRule>
  </conditionalFormatting>
  <conditionalFormatting sqref="N92">
    <cfRule type="cellIs" dxfId="0" priority="1" operator="equal">
      <formula>"??"</formula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2" r:id="rId4" name="Spinner 4">
              <controlPr defaultSize="0" autoPict="0">
                <anchor moveWithCells="1" sizeWithCells="1">
                  <from>
                    <xdr:col>8</xdr:col>
                    <xdr:colOff>161925</xdr:colOff>
                    <xdr:row>96</xdr:row>
                    <xdr:rowOff>38100</xdr:rowOff>
                  </from>
                  <to>
                    <xdr:col>8</xdr:col>
                    <xdr:colOff>476250</xdr:colOff>
                    <xdr:row>98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5" name="Spinner 5">
              <controlPr defaultSize="0" autoPict="0">
                <anchor moveWithCells="1" sizeWithCells="1">
                  <from>
                    <xdr:col>2</xdr:col>
                    <xdr:colOff>76200</xdr:colOff>
                    <xdr:row>96</xdr:row>
                    <xdr:rowOff>19050</xdr:rowOff>
                  </from>
                  <to>
                    <xdr:col>2</xdr:col>
                    <xdr:colOff>390525</xdr:colOff>
                    <xdr:row>98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6" name="Spinner 7">
              <controlPr defaultSize="0" autoPict="0">
                <anchor moveWithCells="1" sizeWithCells="1">
                  <from>
                    <xdr:col>3</xdr:col>
                    <xdr:colOff>561975</xdr:colOff>
                    <xdr:row>99</xdr:row>
                    <xdr:rowOff>57150</xdr:rowOff>
                  </from>
                  <to>
                    <xdr:col>4</xdr:col>
                    <xdr:colOff>171450</xdr:colOff>
                    <xdr:row>101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7" name="Spinner 9">
              <controlPr defaultSize="0" autoPict="0">
                <anchor moveWithCells="1" sizeWithCells="1">
                  <from>
                    <xdr:col>4</xdr:col>
                    <xdr:colOff>304800</xdr:colOff>
                    <xdr:row>6</xdr:row>
                    <xdr:rowOff>171450</xdr:rowOff>
                  </from>
                  <to>
                    <xdr:col>5</xdr:col>
                    <xdr:colOff>9525</xdr:colOff>
                    <xdr:row>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8" name="Spinner 10">
              <controlPr defaultSize="0" autoPict="0">
                <anchor moveWithCells="1" sizeWithCells="1">
                  <from>
                    <xdr:col>2</xdr:col>
                    <xdr:colOff>685800</xdr:colOff>
                    <xdr:row>101</xdr:row>
                    <xdr:rowOff>28575</xdr:rowOff>
                  </from>
                  <to>
                    <xdr:col>2</xdr:col>
                    <xdr:colOff>1000125</xdr:colOff>
                    <xdr:row>103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9" name="Spinner 11">
              <controlPr defaultSize="0" autoPict="0">
                <anchor moveWithCells="1" sizeWithCells="1">
                  <from>
                    <xdr:col>6</xdr:col>
                    <xdr:colOff>1066800</xdr:colOff>
                    <xdr:row>101</xdr:row>
                    <xdr:rowOff>76200</xdr:rowOff>
                  </from>
                  <to>
                    <xdr:col>6</xdr:col>
                    <xdr:colOff>1381125</xdr:colOff>
                    <xdr:row>103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0" name="Spinner 12">
              <controlPr defaultSize="0" autoPict="0">
                <anchor moveWithCells="1" sizeWithCells="1">
                  <from>
                    <xdr:col>5</xdr:col>
                    <xdr:colOff>323850</xdr:colOff>
                    <xdr:row>6</xdr:row>
                    <xdr:rowOff>133350</xdr:rowOff>
                  </from>
                  <to>
                    <xdr:col>6</xdr:col>
                    <xdr:colOff>28575</xdr:colOff>
                    <xdr:row>8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3"/>
  <dimension ref="A2:S15"/>
  <sheetViews>
    <sheetView topLeftCell="J4" zoomScale="78" zoomScaleNormal="78" workbookViewId="0">
      <selection activeCell="S12" sqref="S12"/>
    </sheetView>
  </sheetViews>
  <sheetFormatPr defaultRowHeight="15" x14ac:dyDescent="0.25"/>
  <cols>
    <col min="1" max="1" width="9.28515625" bestFit="1" customWidth="1"/>
    <col min="2" max="2" width="15" customWidth="1"/>
    <col min="3" max="3" width="9.42578125" bestFit="1" customWidth="1"/>
    <col min="4" max="4" width="10.85546875" bestFit="1" customWidth="1"/>
    <col min="5" max="5" width="9.5703125" bestFit="1" customWidth="1"/>
    <col min="6" max="7" width="9.28515625" bestFit="1" customWidth="1"/>
    <col min="8" max="8" width="19.85546875" customWidth="1"/>
    <col min="9" max="9" width="34.28515625" customWidth="1"/>
    <col min="10" max="10" width="22.7109375" customWidth="1"/>
    <col min="11" max="11" width="19.28515625" customWidth="1"/>
    <col min="12" max="14" width="9.140625" customWidth="1"/>
    <col min="15" max="15" width="25.7109375" customWidth="1"/>
    <col min="16" max="16" width="22.85546875" bestFit="1" customWidth="1"/>
    <col min="17" max="17" width="20.28515625" customWidth="1"/>
    <col min="18" max="18" width="20.140625" bestFit="1" customWidth="1"/>
    <col min="19" max="19" width="21.140625" bestFit="1" customWidth="1"/>
    <col min="20" max="20" width="20.140625" bestFit="1" customWidth="1"/>
  </cols>
  <sheetData>
    <row r="2" spans="1:19" ht="31.5" x14ac:dyDescent="0.25">
      <c r="E2" s="145" t="s">
        <v>270</v>
      </c>
      <c r="F2" s="145"/>
      <c r="G2" s="145"/>
      <c r="H2" s="145"/>
      <c r="I2" s="145"/>
      <c r="J2" s="145"/>
      <c r="K2" s="145"/>
    </row>
    <row r="4" spans="1:19" ht="18.75" x14ac:dyDescent="0.3">
      <c r="J4" s="94">
        <f ca="1">TODAY()</f>
        <v>42083</v>
      </c>
    </row>
    <row r="11" spans="1:19" ht="75" x14ac:dyDescent="0.25">
      <c r="A11" s="43" t="s">
        <v>168</v>
      </c>
      <c r="B11" s="44" t="s">
        <v>169</v>
      </c>
      <c r="C11" s="45" t="s">
        <v>266</v>
      </c>
      <c r="D11" s="45" t="s">
        <v>171</v>
      </c>
      <c r="E11" s="46" t="s">
        <v>2</v>
      </c>
      <c r="F11" s="47" t="s">
        <v>172</v>
      </c>
      <c r="G11" s="48" t="s">
        <v>173</v>
      </c>
      <c r="H11" s="48" t="s">
        <v>264</v>
      </c>
      <c r="I11" s="48" t="s">
        <v>265</v>
      </c>
      <c r="J11" s="50" t="s">
        <v>179</v>
      </c>
      <c r="K11" s="48" t="s">
        <v>174</v>
      </c>
      <c r="L11" s="48" t="s">
        <v>175</v>
      </c>
      <c r="M11" s="48" t="s">
        <v>183</v>
      </c>
      <c r="N11" s="48" t="s">
        <v>267</v>
      </c>
      <c r="O11" s="50" t="s">
        <v>268</v>
      </c>
      <c r="P11" s="50" t="s">
        <v>180</v>
      </c>
      <c r="Q11" s="50" t="s">
        <v>269</v>
      </c>
      <c r="R11" s="51" t="s">
        <v>181</v>
      </c>
      <c r="S11" s="52" t="s">
        <v>182</v>
      </c>
    </row>
    <row r="12" spans="1:19" s="104" customFormat="1" x14ac:dyDescent="0.25">
      <c r="A12" s="95">
        <f>roomidnumber</f>
        <v>0</v>
      </c>
      <c r="B12" s="96" t="str">
        <f>roomname</f>
        <v>Room 1</v>
      </c>
      <c r="C12" s="97" t="str">
        <f>IF(AND(wallceilingselected=FALSE,wallactive=1),sounderspacing,IF(AND(wallceilingselected=FALSE,wallactive=0),spacingideal,"N/A"))</f>
        <v>N/A</v>
      </c>
      <c r="D12" s="97" t="str">
        <f>IF(AND(wallceilingselected=FALSE,wallactive=1),correctedidealspacingwall,IF(AND(wallceilingselected=FALSE,wallactive=0),correctedidealspacingwall,"N/A"))</f>
        <v>N/A</v>
      </c>
      <c r="E12" s="98">
        <f>+Ambient</f>
        <v>150</v>
      </c>
      <c r="F12" s="99" t="str">
        <f>VADcolourtext</f>
        <v>White</v>
      </c>
      <c r="G12" s="100" t="str">
        <f>IF(AND(wallceilingselected=FALSE,wallactive=1),line_of_sight_text_wall,IF(AND(wallceilingselected=FALSE,wallactive=0),Lineofsighttext,"N/A"))</f>
        <v>N/A</v>
      </c>
      <c r="H12" s="100" t="str">
        <f>selectedVAD</f>
        <v>S3-S-VAD-HPR-R</v>
      </c>
      <c r="I12" s="100" t="str">
        <f>selectedVADdesc</f>
        <v>S3 Sndr/High Perf Red VAD/Red Body</v>
      </c>
      <c r="J12" s="101" t="str">
        <f>IF(AND(wallceilingselected=FALSE,wallactive=1),actqtyresultwall,IF(AND(wallceilingselected=FALSE,wallactive=0),actqdetresult,"Not Set"))</f>
        <v>Not Set</v>
      </c>
      <c r="K12" s="100">
        <f>lengthofroom</f>
        <v>10</v>
      </c>
      <c r="L12" s="100">
        <f>widthofroom</f>
        <v>5</v>
      </c>
      <c r="M12" s="100">
        <f>Ceilingheight</f>
        <v>2.5</v>
      </c>
      <c r="N12" s="100" t="str">
        <f>IF(AND(wallceilingselected=FALSE,wallactive=1),WallHeight,IF(AND(wallceilingselected=FALSE,wallactive=0),Ceilingheight,"Not Set"))</f>
        <v>Not Set</v>
      </c>
      <c r="O12" s="101" t="str">
        <f>IF(standardcheck = TRUE,IF(AND(wallceilingselected=FALSE,wallactive=1),selectedwallvad,IF(AND(wallceilingselected=FALSE,wallactive=0),selectedceilingvad,"Not Set")),Standard)</f>
        <v>White / Low Power</v>
      </c>
      <c r="P12" s="101" t="str">
        <f>IF(AND(wallceilingselected=FALSE,wallactive=1),IF(Device_Type=selectedwallvad,certifiedratingwall,Sheet2!I93),IF(AND(wallceilingselected=FALSE,wallactive=0),IF(Device_Type=selectedceilingvad,certifiedrating,Sheet2!C93),"Not Set"))</f>
        <v>Not Set</v>
      </c>
      <c r="Q12" s="101" t="str">
        <f>IF(AND(wallceilingselected=FALSE,wallactive=1),IF(Device_Type=selectedwallvad,correctedratingwall,Sheet2!I94),IF(AND(wallceilingselected=FALSE,wallactive=0),IF(Device_Type=selectedceilingvad,correctedrating,Sheet2!C94),"Not Set"))</f>
        <v>Not Set</v>
      </c>
      <c r="R12" s="102" t="str">
        <f>IF(AND(wallceilingselected=FALSE,wallactive=1),IF(Device_Type=selectedwallvad,selectedmaxheightwall,Sheet2!I90),IF(AND(wallceilingselected=FALSE,wallactive=0),IF(Device_Type=selectedceilingvad,selectedmaxheight,Sheet2!C90),"Not Set"))</f>
        <v>Not Set</v>
      </c>
      <c r="S12" s="103" t="str">
        <f>IF(AND(wallceilingselected=FALSE,wallactive=1),IF(Device_Type=selectedwallvad,selectedmaxspacingwall,Sheet2!I91),IF(AND(wallceilingselected=FALSE,wallactive=0),IF(Device_Type=selectedceilingvad,selectedmaxspacing,Sheet2!C91),"Not Set"))</f>
        <v>Not Set</v>
      </c>
    </row>
    <row r="14" spans="1:19" x14ac:dyDescent="0.25">
      <c r="P14">
        <f>IF(Device_Type=Sheet2!L86,Roomsummary!O14,O15)</f>
        <v>0</v>
      </c>
    </row>
    <row r="15" spans="1:19" x14ac:dyDescent="0.25">
      <c r="C15" t="str">
        <f>IF(AND(wallceilingselected=FALSE,wallactive=1),correctedidealspacingwall,IF(AND(wallceilingselected=FALSE,wallactive=0),correctedidealspacingwall,"N/A"))</f>
        <v>N/A</v>
      </c>
      <c r="P15" t="str">
        <f>IF(Device_Type=selectedwallvad,certifiedratingwall,Sheet2!I93)</f>
        <v>W-3-8.5</v>
      </c>
      <c r="Q15" t="str">
        <f>IF(Device_Type=selectedVAD,correctedrating,Sheet2!C94)</f>
        <v>C - 9.6 - 25.9</v>
      </c>
    </row>
  </sheetData>
  <sheetProtection sheet="1" objects="1" scenarios="1"/>
  <mergeCells count="1">
    <mergeCell ref="E2:K2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229</vt:i4>
      </vt:variant>
    </vt:vector>
  </HeadingPairs>
  <TitlesOfParts>
    <vt:vector size="235" baseType="lpstr">
      <vt:lpstr>Project Summary</vt:lpstr>
      <vt:lpstr>Background</vt:lpstr>
      <vt:lpstr>Sheet1</vt:lpstr>
      <vt:lpstr>Table 1</vt:lpstr>
      <vt:lpstr>Sheet2</vt:lpstr>
      <vt:lpstr>Roomsummary</vt:lpstr>
      <vt:lpstr>actqdetlength</vt:lpstr>
      <vt:lpstr>actqdetresult</vt:lpstr>
      <vt:lpstr>actqdetwidth</vt:lpstr>
      <vt:lpstr>actqtyresultwall</vt:lpstr>
      <vt:lpstr>actwalllength</vt:lpstr>
      <vt:lpstr>actwallwidth</vt:lpstr>
      <vt:lpstr>Ambient</vt:lpstr>
      <vt:lpstr>Ambient_Light</vt:lpstr>
      <vt:lpstr>ambient_sound_level</vt:lpstr>
      <vt:lpstr>Ambientcat</vt:lpstr>
      <vt:lpstr>ambientdesc</vt:lpstr>
      <vt:lpstr>ambientset</vt:lpstr>
      <vt:lpstr>backview</vt:lpstr>
      <vt:lpstr>bestsdrspacelength</vt:lpstr>
      <vt:lpstr>bestsdrspacewidth</vt:lpstr>
      <vt:lpstr>bestspacinglength</vt:lpstr>
      <vt:lpstr>bestspacingwidth</vt:lpstr>
      <vt:lpstr>catprefix</vt:lpstr>
      <vt:lpstr>ceilingactive</vt:lpstr>
      <vt:lpstr>ceilingbestfit</vt:lpstr>
      <vt:lpstr>ceilingcorrfact</vt:lpstr>
      <vt:lpstr>Ceilingheight</vt:lpstr>
      <vt:lpstr>ceilingheighterror</vt:lpstr>
      <vt:lpstr>ceilinghtwarning</vt:lpstr>
      <vt:lpstr>Certified_Category</vt:lpstr>
      <vt:lpstr>certifiedcategory</vt:lpstr>
      <vt:lpstr>certifiedrating</vt:lpstr>
      <vt:lpstr>certifiedratingwall</vt:lpstr>
      <vt:lpstr>check</vt:lpstr>
      <vt:lpstr>Check_Room_Name</vt:lpstr>
      <vt:lpstr>colourandpower</vt:lpstr>
      <vt:lpstr>colourselected</vt:lpstr>
      <vt:lpstr>compromisespacing</vt:lpstr>
      <vt:lpstr>compromisespacingwall</vt:lpstr>
      <vt:lpstr>correctedidealspacing</vt:lpstr>
      <vt:lpstr>correctedidealspacingwall</vt:lpstr>
      <vt:lpstr>correctedrating</vt:lpstr>
      <vt:lpstr>correctedratingwall</vt:lpstr>
      <vt:lpstr>Correction_Factor</vt:lpstr>
      <vt:lpstr>cvadrates</vt:lpstr>
      <vt:lpstr>defaultroomname</vt:lpstr>
      <vt:lpstr>designcoveragelength</vt:lpstr>
      <vt:lpstr>designcoveragelengthw</vt:lpstr>
      <vt:lpstr>designcoveragewidth</vt:lpstr>
      <vt:lpstr>designcoveragewidthw</vt:lpstr>
      <vt:lpstr>Detection_Tech</vt:lpstr>
      <vt:lpstr>detectiontech</vt:lpstr>
      <vt:lpstr>Detector_Spacing</vt:lpstr>
      <vt:lpstr>detquantity</vt:lpstr>
      <vt:lpstr>detspacing</vt:lpstr>
      <vt:lpstr>detspacingtext</vt:lpstr>
      <vt:lpstr>dettechname</vt:lpstr>
      <vt:lpstr>dettechwithspacing</vt:lpstr>
      <vt:lpstr>Device_Colour</vt:lpstr>
      <vt:lpstr>Device_Type</vt:lpstr>
      <vt:lpstr>errormessage</vt:lpstr>
      <vt:lpstr>filtercolour</vt:lpstr>
      <vt:lpstr>filtertype</vt:lpstr>
      <vt:lpstr>Heat___Coridoor</vt:lpstr>
      <vt:lpstr>heighterror</vt:lpstr>
      <vt:lpstr>hghthi</vt:lpstr>
      <vt:lpstr>hghtlow</vt:lpstr>
      <vt:lpstr>hghtmed</vt:lpstr>
      <vt:lpstr>idealqty</vt:lpstr>
      <vt:lpstr>Idealspacing</vt:lpstr>
      <vt:lpstr>lengthofroom</vt:lpstr>
      <vt:lpstr>lhs</vt:lpstr>
      <vt:lpstr>Line_of_Sight</vt:lpstr>
      <vt:lpstr>line_of_sight_text_wall</vt:lpstr>
      <vt:lpstr>line_of_sight_wall</vt:lpstr>
      <vt:lpstr>Lineofsight</vt:lpstr>
      <vt:lpstr>Lineofsighttext</vt:lpstr>
      <vt:lpstr>lookuptable</vt:lpstr>
      <vt:lpstr>loopload</vt:lpstr>
      <vt:lpstr>Max_Mounting_Height</vt:lpstr>
      <vt:lpstr>Max_Sdr_Spacing</vt:lpstr>
      <vt:lpstr>Max_Spacing_of_VAD</vt:lpstr>
      <vt:lpstr>maxdiameter</vt:lpstr>
      <vt:lpstr>maxheight</vt:lpstr>
      <vt:lpstr>maxsdrspace</vt:lpstr>
      <vt:lpstr>maxspacing</vt:lpstr>
      <vt:lpstr>mid</vt:lpstr>
      <vt:lpstr>month</vt:lpstr>
      <vt:lpstr>mount</vt:lpstr>
      <vt:lpstr>nameofroom</vt:lpstr>
      <vt:lpstr>ok</vt:lpstr>
      <vt:lpstr>Open_or_Corridoor</vt:lpstr>
      <vt:lpstr>Part_Ref</vt:lpstr>
      <vt:lpstr>part1</vt:lpstr>
      <vt:lpstr>part2</vt:lpstr>
      <vt:lpstr>part3</vt:lpstr>
      <vt:lpstr>part4</vt:lpstr>
      <vt:lpstr>part5</vt:lpstr>
      <vt:lpstr>part6</vt:lpstr>
      <vt:lpstr>part7</vt:lpstr>
      <vt:lpstr>partref1</vt:lpstr>
      <vt:lpstr>partref2</vt:lpstr>
      <vt:lpstr>partref3</vt:lpstr>
      <vt:lpstr>partref4</vt:lpstr>
      <vt:lpstr>partref5</vt:lpstr>
      <vt:lpstr>partref6</vt:lpstr>
      <vt:lpstr>partref7</vt:lpstr>
      <vt:lpstr>power</vt:lpstr>
      <vt:lpstr>powersetting</vt:lpstr>
      <vt:lpstr>PRINTING</vt:lpstr>
      <vt:lpstr>Project_Name</vt:lpstr>
      <vt:lpstr>projectnamecheck</vt:lpstr>
      <vt:lpstr>qdetlength</vt:lpstr>
      <vt:lpstr>qdetwidth</vt:lpstr>
      <vt:lpstr>qsdrlength</vt:lpstr>
      <vt:lpstr>qsdrwidth</vt:lpstr>
      <vt:lpstr>Quantity</vt:lpstr>
      <vt:lpstr>redHPceiling</vt:lpstr>
      <vt:lpstr>redstandard_ceiling</vt:lpstr>
      <vt:lpstr>Required_SPL</vt:lpstr>
      <vt:lpstr>rhs</vt:lpstr>
      <vt:lpstr>rmlen</vt:lpstr>
      <vt:lpstr>rmwid</vt:lpstr>
      <vt:lpstr>Room_ID</vt:lpstr>
      <vt:lpstr>Room_Number</vt:lpstr>
      <vt:lpstr>roomandproject</vt:lpstr>
      <vt:lpstr>roomidnumber</vt:lpstr>
      <vt:lpstr>roomname</vt:lpstr>
      <vt:lpstr>roomnamecheck</vt:lpstr>
      <vt:lpstr>roomsummaryforprint</vt:lpstr>
      <vt:lpstr>S3EPSR</vt:lpstr>
      <vt:lpstr>S3EPVADHPRR</vt:lpstr>
      <vt:lpstr>S3EPVADHPWR</vt:lpstr>
      <vt:lpstr>S3EPVVADHPRR</vt:lpstr>
      <vt:lpstr>S3EPVVADHPWR</vt:lpstr>
      <vt:lpstr>S3SR</vt:lpstr>
      <vt:lpstr>S3SVADHPRR</vt:lpstr>
      <vt:lpstr>S3SVADHPRW</vt:lpstr>
      <vt:lpstr>S3SVADHPWR</vt:lpstr>
      <vt:lpstr>S3SVADHPWW</vt:lpstr>
      <vt:lpstr>S3SW</vt:lpstr>
      <vt:lpstr>S3VADHPRR</vt:lpstr>
      <vt:lpstr>S3VADHPWR</vt:lpstr>
      <vt:lpstr>S3VR</vt:lpstr>
      <vt:lpstr>S3VVADHPRR</vt:lpstr>
      <vt:lpstr>S3VVADHPWR</vt:lpstr>
      <vt:lpstr>S3VW</vt:lpstr>
      <vt:lpstr>S4_711_V_VAD_HPR</vt:lpstr>
      <vt:lpstr>S4_711_V_VAD_HPW</vt:lpstr>
      <vt:lpstr>S4_711_V_VAD_LPR</vt:lpstr>
      <vt:lpstr>S4_711_V_VAD_LPW</vt:lpstr>
      <vt:lpstr>S4_711_VAD_HPR</vt:lpstr>
      <vt:lpstr>S4_711_VAD_HPW</vt:lpstr>
      <vt:lpstr>S4_711_VAD_LPW</vt:lpstr>
      <vt:lpstr>S4_720_V_VAD_HPR</vt:lpstr>
      <vt:lpstr>S4_720_V_VAD_HPW</vt:lpstr>
      <vt:lpstr>S4_911_V_VAD_HPR</vt:lpstr>
      <vt:lpstr>S4_911_V_VAD_HPW</vt:lpstr>
      <vt:lpstr>S4711VADHPR</vt:lpstr>
      <vt:lpstr>S4711VADHPW</vt:lpstr>
      <vt:lpstr>S4711VADLPW</vt:lpstr>
      <vt:lpstr>S4711VVADHPR</vt:lpstr>
      <vt:lpstr>S4711VVADHPW</vt:lpstr>
      <vt:lpstr>S4711VVADLPR</vt:lpstr>
      <vt:lpstr>S4711VVADLPW</vt:lpstr>
      <vt:lpstr>S4720VVADHPR</vt:lpstr>
      <vt:lpstr>S4720VVADHPW</vt:lpstr>
      <vt:lpstr>S4911VVADHPR</vt:lpstr>
      <vt:lpstr>S4911VVADHPW</vt:lpstr>
      <vt:lpstr>selectedceilingvad</vt:lpstr>
      <vt:lpstr>selecteddevice</vt:lpstr>
      <vt:lpstr>selectedmaxheight</vt:lpstr>
      <vt:lpstr>selectedmaxheightwall</vt:lpstr>
      <vt:lpstr>selectedmaxspacing</vt:lpstr>
      <vt:lpstr>selectedmaxspacingwall</vt:lpstr>
      <vt:lpstr>selectedVAD</vt:lpstr>
      <vt:lpstr>selectedVADdesc</vt:lpstr>
      <vt:lpstr>selectedviewceiling</vt:lpstr>
      <vt:lpstr>selectedwallvad</vt:lpstr>
      <vt:lpstr>SEN770VADHPR</vt:lpstr>
      <vt:lpstr>SEN770VADHPW</vt:lpstr>
      <vt:lpstr>SEN780VADHPR</vt:lpstr>
      <vt:lpstr>SEN780VADHPW</vt:lpstr>
      <vt:lpstr>SENSEPR</vt:lpstr>
      <vt:lpstr>SENSR</vt:lpstr>
      <vt:lpstr>SENSVADHPREPR</vt:lpstr>
      <vt:lpstr>SENSVADHPRR</vt:lpstr>
      <vt:lpstr>SENSVADHPWEPR</vt:lpstr>
      <vt:lpstr>SENSVADHPWR</vt:lpstr>
      <vt:lpstr>SENVADHPRR</vt:lpstr>
      <vt:lpstr>SENVADHPWR</vt:lpstr>
      <vt:lpstr>setheight</vt:lpstr>
      <vt:lpstr>setlength</vt:lpstr>
      <vt:lpstr>setRequired_SPL</vt:lpstr>
      <vt:lpstr>setsdrspace</vt:lpstr>
      <vt:lpstr>setwallheight</vt:lpstr>
      <vt:lpstr>setwidth</vt:lpstr>
      <vt:lpstr>sounderspacing</vt:lpstr>
      <vt:lpstr>spacehi</vt:lpstr>
      <vt:lpstr>spacelow</vt:lpstr>
      <vt:lpstr>spacemed</vt:lpstr>
      <vt:lpstr>Spacing</vt:lpstr>
      <vt:lpstr>spacingerror</vt:lpstr>
      <vt:lpstr>spacingideal</vt:lpstr>
      <vt:lpstr>spacingidealsdr</vt:lpstr>
      <vt:lpstr>spacingidealtext</vt:lpstr>
      <vt:lpstr>spacingrecc_ceiling</vt:lpstr>
      <vt:lpstr>spacingreccwall</vt:lpstr>
      <vt:lpstr>SPL_lookup</vt:lpstr>
      <vt:lpstr>Standard</vt:lpstr>
      <vt:lpstr>standardavailable</vt:lpstr>
      <vt:lpstr>standardavailablewall</vt:lpstr>
      <vt:lpstr>standardbutlpselected</vt:lpstr>
      <vt:lpstr>standardcheck</vt:lpstr>
      <vt:lpstr>Target_SPL</vt:lpstr>
      <vt:lpstr>today</vt:lpstr>
      <vt:lpstr>Type</vt:lpstr>
      <vt:lpstr>VAD_Spacing</vt:lpstr>
      <vt:lpstr>vadcategory</vt:lpstr>
      <vt:lpstr>VADcolour</vt:lpstr>
      <vt:lpstr>VADcolourtext</vt:lpstr>
      <vt:lpstr>VADinternal</vt:lpstr>
      <vt:lpstr>VADsounder</vt:lpstr>
      <vt:lpstr>Wall_Sdr_Y_N</vt:lpstr>
      <vt:lpstr>wallactive</vt:lpstr>
      <vt:lpstr>wallceilingselected</vt:lpstr>
      <vt:lpstr>wallcorrfact</vt:lpstr>
      <vt:lpstr>WallHeight</vt:lpstr>
      <vt:lpstr>wallorceiling</vt:lpstr>
      <vt:lpstr>whiteHPceiling</vt:lpstr>
      <vt:lpstr>whitelowother</vt:lpstr>
      <vt:lpstr>whitestandardceiling</vt:lpstr>
      <vt:lpstr>widthofroom</vt:lpstr>
      <vt:lpstr>wvadrates</vt:lpstr>
    </vt:vector>
  </TitlesOfParts>
  <Company>Honeywell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Simon</cp:lastModifiedBy>
  <cp:lastPrinted>2015-03-12T15:25:09Z</cp:lastPrinted>
  <dcterms:created xsi:type="dcterms:W3CDTF">2014-11-30T17:15:31Z</dcterms:created>
  <dcterms:modified xsi:type="dcterms:W3CDTF">2015-03-20T13:20:36Z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Book4.xlsm</vt:lpwstr>
  </property>
</Properties>
</file>